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omments6.xml" ContentType="application/vnd.openxmlformats-officedocument.spreadsheetml.comments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workbookProtection workbookPassword="F2E4" lockStructure="1"/>
  <bookViews>
    <workbookView xWindow="2175" yWindow="1950" windowWidth="15930" windowHeight="7620" firstSheet="3" activeTab="8"/>
  </bookViews>
  <sheets>
    <sheet name="Disp_ENERG" sheetId="1" r:id="rId1"/>
    <sheet name="colazione" sheetId="2" r:id="rId2"/>
    <sheet name="pranzo" sheetId="3" r:id="rId3"/>
    <sheet name="merenda" sheetId="4" r:id="rId4"/>
    <sheet name="spuntino" sheetId="5" r:id="rId5"/>
    <sheet name="cena" sheetId="6" r:id="rId6"/>
    <sheet name="bilancio-essen" sheetId="9" r:id="rId7"/>
    <sheet name="RISULTATI" sheetId="7" r:id="rId8"/>
    <sheet name="equilibrio" sheetId="8" r:id="rId9"/>
  </sheets>
  <definedNames>
    <definedName name="_xlnm.Print_Area" localSheetId="0">Disp_ENERG!$A$1:$M$37</definedName>
    <definedName name="_xlnm.Print_Area" localSheetId="8">equilibrio!$A$1:$K$34</definedName>
    <definedName name="_xlnm.Print_Area" localSheetId="7">RISULTATI!$A$1:$J$35</definedName>
  </definedNames>
  <calcPr calcId="145621"/>
</workbook>
</file>

<file path=xl/calcChain.xml><?xml version="1.0" encoding="utf-8"?>
<calcChain xmlns="http://schemas.openxmlformats.org/spreadsheetml/2006/main">
  <c r="L55" i="5" l="1"/>
  <c r="J55" i="5"/>
  <c r="I55" i="5"/>
  <c r="H55" i="5"/>
  <c r="K55" i="5" s="1"/>
  <c r="F55" i="5"/>
  <c r="M55" i="5" s="1"/>
  <c r="J130" i="6" l="1"/>
  <c r="I130" i="6"/>
  <c r="H130" i="6"/>
  <c r="J130" i="3"/>
  <c r="I130" i="3"/>
  <c r="H130" i="3"/>
  <c r="J38" i="2" l="1"/>
  <c r="I38" i="2"/>
  <c r="H38" i="2"/>
  <c r="J61" i="4" l="1"/>
  <c r="I61" i="4"/>
  <c r="H61" i="4"/>
  <c r="J15" i="5"/>
  <c r="I15" i="5"/>
  <c r="J11" i="5"/>
  <c r="I11" i="5"/>
  <c r="J11" i="4"/>
  <c r="H11" i="4"/>
  <c r="I11" i="4"/>
  <c r="J15" i="4"/>
  <c r="I15" i="4"/>
  <c r="J49" i="4"/>
  <c r="I49" i="4"/>
  <c r="J49" i="5"/>
  <c r="I49" i="5"/>
  <c r="H49" i="5"/>
  <c r="H49" i="4"/>
  <c r="H112" i="3"/>
  <c r="M15" i="5"/>
  <c r="L15" i="5"/>
  <c r="H15" i="5"/>
  <c r="F15" i="5"/>
  <c r="M15" i="4"/>
  <c r="L15" i="4"/>
  <c r="H15" i="4"/>
  <c r="F15" i="4"/>
  <c r="L22" i="2"/>
  <c r="J22" i="2"/>
  <c r="I22" i="2"/>
  <c r="H22" i="2"/>
  <c r="F22" i="2"/>
  <c r="M22" i="2" s="1"/>
  <c r="H17" i="2"/>
  <c r="K22" i="2" l="1"/>
  <c r="K15" i="5"/>
  <c r="K15" i="4"/>
  <c r="L24" i="5" l="1"/>
  <c r="J24" i="5"/>
  <c r="I24" i="5"/>
  <c r="H24" i="5"/>
  <c r="F24" i="5"/>
  <c r="M24" i="5" s="1"/>
  <c r="L25" i="4"/>
  <c r="J25" i="4"/>
  <c r="I25" i="4"/>
  <c r="H25" i="4"/>
  <c r="F25" i="4"/>
  <c r="M25" i="4" s="1"/>
  <c r="L24" i="4"/>
  <c r="J24" i="4"/>
  <c r="K24" i="4" s="1"/>
  <c r="I24" i="4"/>
  <c r="H24" i="4"/>
  <c r="F24" i="4"/>
  <c r="M24" i="4" s="1"/>
  <c r="K25" i="4" l="1"/>
  <c r="K24" i="5"/>
  <c r="L55" i="4"/>
  <c r="J55" i="4"/>
  <c r="I55" i="4"/>
  <c r="H55" i="4"/>
  <c r="F55" i="4"/>
  <c r="M55" i="4" s="1"/>
  <c r="K55" i="4" l="1"/>
  <c r="L11" i="5"/>
  <c r="H11" i="5"/>
  <c r="K11" i="5" s="1"/>
  <c r="F11" i="5"/>
  <c r="M11" i="5" s="1"/>
  <c r="L18" i="5" l="1"/>
  <c r="J18" i="5"/>
  <c r="I18" i="5"/>
  <c r="H18" i="5"/>
  <c r="K18" i="5" s="1"/>
  <c r="F18" i="5"/>
  <c r="M18" i="5" s="1"/>
  <c r="L84" i="4"/>
  <c r="J84" i="4"/>
  <c r="I84" i="4"/>
  <c r="H84" i="4"/>
  <c r="F84" i="4"/>
  <c r="M84" i="4" s="1"/>
  <c r="L25" i="2"/>
  <c r="J25" i="2"/>
  <c r="I25" i="2"/>
  <c r="H25" i="2"/>
  <c r="F25" i="2"/>
  <c r="M25" i="2" s="1"/>
  <c r="L24" i="2"/>
  <c r="J24" i="2"/>
  <c r="I24" i="2"/>
  <c r="H24" i="2"/>
  <c r="K24" i="2" s="1"/>
  <c r="F24" i="2"/>
  <c r="M24" i="2" s="1"/>
  <c r="K25" i="2" l="1"/>
  <c r="K84" i="4"/>
  <c r="M171" i="3"/>
  <c r="L171" i="3"/>
  <c r="J171" i="3"/>
  <c r="I171" i="3"/>
  <c r="H171" i="3"/>
  <c r="F171" i="3"/>
  <c r="L171" i="6"/>
  <c r="J171" i="6"/>
  <c r="I171" i="6"/>
  <c r="H171" i="6"/>
  <c r="F171" i="6"/>
  <c r="M171" i="6" s="1"/>
  <c r="K171" i="3" l="1"/>
  <c r="K171" i="6"/>
  <c r="L82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1" i="5"/>
  <c r="L60" i="5"/>
  <c r="L59" i="5"/>
  <c r="L58" i="5"/>
  <c r="L57" i="5"/>
  <c r="L56" i="5"/>
  <c r="L54" i="5"/>
  <c r="L53" i="5"/>
  <c r="L52" i="5"/>
  <c r="L51" i="5"/>
  <c r="L50" i="5"/>
  <c r="L49" i="5"/>
  <c r="L48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6" i="5"/>
  <c r="L25" i="5"/>
  <c r="L23" i="5"/>
  <c r="L22" i="5"/>
  <c r="L21" i="5"/>
  <c r="L20" i="5"/>
  <c r="L19" i="5"/>
  <c r="L17" i="5"/>
  <c r="L16" i="5"/>
  <c r="L14" i="5"/>
  <c r="L12" i="5"/>
  <c r="L10" i="5"/>
  <c r="L9" i="5"/>
  <c r="L8" i="5"/>
  <c r="L7" i="5"/>
  <c r="L6" i="5"/>
  <c r="L5" i="5"/>
  <c r="L4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63" i="5"/>
  <c r="F64" i="5"/>
  <c r="F65" i="5"/>
  <c r="F61" i="5"/>
  <c r="F60" i="5"/>
  <c r="F59" i="5"/>
  <c r="F58" i="5"/>
  <c r="F57" i="5"/>
  <c r="F56" i="5"/>
  <c r="F54" i="5"/>
  <c r="F53" i="5"/>
  <c r="F52" i="5"/>
  <c r="F51" i="5"/>
  <c r="F50" i="5"/>
  <c r="F49" i="5"/>
  <c r="F48" i="5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28" i="4"/>
  <c r="F16" i="4"/>
  <c r="F17" i="4"/>
  <c r="F18" i="4"/>
  <c r="F19" i="4"/>
  <c r="F20" i="4"/>
  <c r="F21" i="4"/>
  <c r="F22" i="4"/>
  <c r="F23" i="4"/>
  <c r="F26" i="4"/>
  <c r="F14" i="4"/>
  <c r="F5" i="4"/>
  <c r="F6" i="4"/>
  <c r="F7" i="4"/>
  <c r="F8" i="4"/>
  <c r="F9" i="4"/>
  <c r="F10" i="4"/>
  <c r="F11" i="4"/>
  <c r="F12" i="4"/>
  <c r="F4" i="4"/>
  <c r="F85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63" i="4"/>
  <c r="F49" i="4"/>
  <c r="F50" i="4"/>
  <c r="F51" i="4"/>
  <c r="F52" i="4"/>
  <c r="F53" i="4"/>
  <c r="F54" i="4"/>
  <c r="F56" i="4"/>
  <c r="F57" i="4"/>
  <c r="F58" i="4"/>
  <c r="F59" i="4"/>
  <c r="F60" i="4"/>
  <c r="F61" i="4"/>
  <c r="F48" i="4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28" i="5"/>
  <c r="F16" i="5"/>
  <c r="F17" i="5"/>
  <c r="F19" i="5"/>
  <c r="F20" i="5"/>
  <c r="F21" i="5"/>
  <c r="F22" i="5"/>
  <c r="F23" i="5"/>
  <c r="F25" i="5"/>
  <c r="F26" i="5"/>
  <c r="F14" i="5"/>
  <c r="F5" i="5"/>
  <c r="F6" i="5"/>
  <c r="F7" i="5"/>
  <c r="F8" i="5"/>
  <c r="F9" i="5"/>
  <c r="F10" i="5"/>
  <c r="F12" i="5"/>
  <c r="F4" i="5"/>
  <c r="F14" i="2"/>
  <c r="F15" i="2"/>
  <c r="F16" i="2"/>
  <c r="F17" i="2"/>
  <c r="F18" i="2"/>
  <c r="F19" i="2"/>
  <c r="F20" i="2"/>
  <c r="F21" i="2"/>
  <c r="F13" i="2"/>
  <c r="F4" i="2"/>
  <c r="F5" i="2"/>
  <c r="F6" i="2"/>
  <c r="F7" i="2"/>
  <c r="F8" i="2"/>
  <c r="F9" i="2"/>
  <c r="F10" i="2"/>
  <c r="F11" i="2"/>
  <c r="F26" i="2"/>
  <c r="F27" i="2"/>
  <c r="F28" i="2"/>
  <c r="F29" i="2"/>
  <c r="F30" i="2"/>
  <c r="F31" i="2"/>
  <c r="F33" i="2"/>
  <c r="F34" i="2"/>
  <c r="F35" i="2"/>
  <c r="F36" i="2"/>
  <c r="F37" i="2"/>
  <c r="F38" i="2"/>
  <c r="F40" i="2"/>
  <c r="F41" i="2"/>
  <c r="F43" i="2"/>
  <c r="F44" i="2"/>
  <c r="F42" i="2"/>
  <c r="F47" i="2"/>
  <c r="F48" i="2"/>
  <c r="F49" i="2"/>
  <c r="F46" i="2"/>
  <c r="F166" i="3"/>
  <c r="F167" i="3"/>
  <c r="F168" i="3"/>
  <c r="F169" i="3"/>
  <c r="F170" i="3"/>
  <c r="F172" i="3"/>
  <c r="F165" i="3"/>
  <c r="F157" i="3"/>
  <c r="F158" i="3"/>
  <c r="F159" i="3"/>
  <c r="F160" i="3"/>
  <c r="F161" i="3"/>
  <c r="F162" i="3"/>
  <c r="F163" i="3"/>
  <c r="F155" i="3"/>
  <c r="F156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24" i="3"/>
  <c r="F121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2" i="3"/>
  <c r="F106" i="3"/>
  <c r="F93" i="3"/>
  <c r="F94" i="3"/>
  <c r="F95" i="3"/>
  <c r="F96" i="3"/>
  <c r="F97" i="3"/>
  <c r="F98" i="3"/>
  <c r="F99" i="3"/>
  <c r="F100" i="3"/>
  <c r="F101" i="3"/>
  <c r="F102" i="3"/>
  <c r="F103" i="3"/>
  <c r="F104" i="3"/>
  <c r="F92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23" i="3"/>
  <c r="F24" i="3"/>
  <c r="F25" i="3"/>
  <c r="F26" i="3"/>
  <c r="F27" i="3"/>
  <c r="F28" i="3"/>
  <c r="F29" i="3"/>
  <c r="F30" i="3"/>
  <c r="F31" i="3"/>
  <c r="F32" i="3"/>
  <c r="F33" i="3"/>
  <c r="M33" i="3" s="1"/>
  <c r="F34" i="3"/>
  <c r="M34" i="3" s="1"/>
  <c r="F35" i="3"/>
  <c r="F36" i="3"/>
  <c r="F37" i="3"/>
  <c r="F38" i="3"/>
  <c r="F39" i="3"/>
  <c r="F40" i="3"/>
  <c r="F41" i="3"/>
  <c r="F42" i="3"/>
  <c r="F43" i="3"/>
  <c r="F44" i="3"/>
  <c r="F22" i="3"/>
  <c r="F46" i="3"/>
  <c r="L33" i="3"/>
  <c r="J33" i="3"/>
  <c r="I33" i="3"/>
  <c r="H33" i="3"/>
  <c r="H34" i="3"/>
  <c r="I34" i="3"/>
  <c r="J34" i="3"/>
  <c r="L34" i="3"/>
  <c r="J33" i="6"/>
  <c r="I33" i="6"/>
  <c r="K33" i="6" s="1"/>
  <c r="H33" i="6"/>
  <c r="F33" i="6"/>
  <c r="M33" i="6" s="1"/>
  <c r="L33" i="6"/>
  <c r="F34" i="6"/>
  <c r="M34" i="6" s="1"/>
  <c r="H34" i="6"/>
  <c r="I34" i="6"/>
  <c r="J34" i="6"/>
  <c r="L34" i="6"/>
  <c r="F35" i="6"/>
  <c r="M35" i="6" s="1"/>
  <c r="H35" i="6"/>
  <c r="K35" i="6" s="1"/>
  <c r="I35" i="6"/>
  <c r="J35" i="6"/>
  <c r="L35" i="6"/>
  <c r="F36" i="6"/>
  <c r="M36" i="6" s="1"/>
  <c r="H36" i="6"/>
  <c r="I36" i="6"/>
  <c r="J36" i="6"/>
  <c r="L36" i="6"/>
  <c r="F37" i="6"/>
  <c r="M37" i="6" s="1"/>
  <c r="H37" i="6"/>
  <c r="I37" i="6"/>
  <c r="J37" i="6"/>
  <c r="L37" i="6"/>
  <c r="F38" i="6"/>
  <c r="H38" i="6"/>
  <c r="I38" i="6"/>
  <c r="J38" i="6"/>
  <c r="L38" i="6"/>
  <c r="M38" i="6"/>
  <c r="F39" i="6"/>
  <c r="M39" i="6" s="1"/>
  <c r="H39" i="6"/>
  <c r="I39" i="6"/>
  <c r="J39" i="6"/>
  <c r="K39" i="6"/>
  <c r="L39" i="6"/>
  <c r="F40" i="6"/>
  <c r="M40" i="6" s="1"/>
  <c r="H40" i="6"/>
  <c r="I40" i="6"/>
  <c r="J40" i="6"/>
  <c r="L40" i="6"/>
  <c r="F41" i="6"/>
  <c r="M41" i="6" s="1"/>
  <c r="H41" i="6"/>
  <c r="I41" i="6"/>
  <c r="J41" i="6"/>
  <c r="L41" i="6"/>
  <c r="L88" i="4"/>
  <c r="L85" i="4"/>
  <c r="L82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63" i="4"/>
  <c r="L49" i="4"/>
  <c r="L50" i="4"/>
  <c r="L51" i="4"/>
  <c r="L52" i="4"/>
  <c r="L53" i="4"/>
  <c r="L54" i="4"/>
  <c r="L56" i="4"/>
  <c r="L57" i="4"/>
  <c r="L58" i="4"/>
  <c r="L59" i="4"/>
  <c r="L60" i="4"/>
  <c r="L61" i="4"/>
  <c r="L4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28" i="4"/>
  <c r="L16" i="4"/>
  <c r="L17" i="4"/>
  <c r="L18" i="4"/>
  <c r="L19" i="4"/>
  <c r="L20" i="4"/>
  <c r="L21" i="4"/>
  <c r="L22" i="4"/>
  <c r="L23" i="4"/>
  <c r="L26" i="4"/>
  <c r="L14" i="4"/>
  <c r="L5" i="4"/>
  <c r="L6" i="4"/>
  <c r="L7" i="4"/>
  <c r="L8" i="4"/>
  <c r="L9" i="4"/>
  <c r="L10" i="4"/>
  <c r="L11" i="4"/>
  <c r="L12" i="4"/>
  <c r="L4" i="4"/>
  <c r="L4" i="6"/>
  <c r="L175" i="6"/>
  <c r="L172" i="6"/>
  <c r="L170" i="6"/>
  <c r="L169" i="6"/>
  <c r="L168" i="6"/>
  <c r="L167" i="6"/>
  <c r="L166" i="6"/>
  <c r="L165" i="6"/>
  <c r="L163" i="6"/>
  <c r="L162" i="6"/>
  <c r="L161" i="6"/>
  <c r="L160" i="6"/>
  <c r="L159" i="6"/>
  <c r="L158" i="6"/>
  <c r="L157" i="6"/>
  <c r="L156" i="6"/>
  <c r="L155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4" i="6"/>
  <c r="L43" i="6"/>
  <c r="L42" i="6"/>
  <c r="L32" i="6"/>
  <c r="L31" i="6"/>
  <c r="L30" i="6"/>
  <c r="L29" i="6"/>
  <c r="L28" i="6"/>
  <c r="L27" i="6"/>
  <c r="L26" i="6"/>
  <c r="L25" i="6"/>
  <c r="L24" i="6"/>
  <c r="L23" i="6"/>
  <c r="L22" i="6"/>
  <c r="L19" i="6"/>
  <c r="L18" i="6"/>
  <c r="L17" i="6"/>
  <c r="L16" i="6"/>
  <c r="L15" i="6"/>
  <c r="L14" i="6"/>
  <c r="L12" i="6"/>
  <c r="L11" i="6"/>
  <c r="L10" i="6"/>
  <c r="L9" i="6"/>
  <c r="L8" i="6"/>
  <c r="L7" i="6"/>
  <c r="L6" i="6"/>
  <c r="L5" i="6"/>
  <c r="L175" i="3"/>
  <c r="L166" i="3"/>
  <c r="L167" i="3"/>
  <c r="L168" i="3"/>
  <c r="L169" i="3"/>
  <c r="L170" i="3"/>
  <c r="L172" i="3"/>
  <c r="L165" i="3"/>
  <c r="L156" i="3"/>
  <c r="L157" i="3"/>
  <c r="L158" i="3"/>
  <c r="L159" i="3"/>
  <c r="L160" i="3"/>
  <c r="L161" i="3"/>
  <c r="L162" i="3"/>
  <c r="L163" i="3"/>
  <c r="L155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24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06" i="3"/>
  <c r="L93" i="3"/>
  <c r="L94" i="3"/>
  <c r="L95" i="3"/>
  <c r="L96" i="3"/>
  <c r="L97" i="3"/>
  <c r="L98" i="3"/>
  <c r="L99" i="3"/>
  <c r="L100" i="3"/>
  <c r="L101" i="3"/>
  <c r="L102" i="3"/>
  <c r="L103" i="3"/>
  <c r="L104" i="3"/>
  <c r="L92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46" i="3"/>
  <c r="L23" i="3"/>
  <c r="L24" i="3"/>
  <c r="L25" i="3"/>
  <c r="L26" i="3"/>
  <c r="L27" i="3"/>
  <c r="L28" i="3"/>
  <c r="L29" i="3"/>
  <c r="L30" i="3"/>
  <c r="L31" i="3"/>
  <c r="L32" i="3"/>
  <c r="L35" i="3"/>
  <c r="L36" i="3"/>
  <c r="L37" i="3"/>
  <c r="L38" i="3"/>
  <c r="L39" i="3"/>
  <c r="L40" i="3"/>
  <c r="L41" i="3"/>
  <c r="L42" i="3"/>
  <c r="L43" i="3"/>
  <c r="L44" i="3"/>
  <c r="L22" i="3"/>
  <c r="L15" i="3"/>
  <c r="L16" i="3"/>
  <c r="L17" i="3"/>
  <c r="L18" i="3"/>
  <c r="L19" i="3"/>
  <c r="L14" i="3"/>
  <c r="L12" i="3"/>
  <c r="L11" i="3"/>
  <c r="L10" i="3"/>
  <c r="L9" i="3"/>
  <c r="L8" i="3"/>
  <c r="L7" i="3"/>
  <c r="L6" i="3"/>
  <c r="L5" i="3"/>
  <c r="L4" i="3"/>
  <c r="L52" i="2"/>
  <c r="L47" i="2"/>
  <c r="L48" i="2"/>
  <c r="L49" i="2"/>
  <c r="L46" i="2"/>
  <c r="L41" i="2"/>
  <c r="L42" i="2"/>
  <c r="L43" i="2"/>
  <c r="L44" i="2"/>
  <c r="L40" i="2"/>
  <c r="L34" i="2"/>
  <c r="L35" i="2"/>
  <c r="L36" i="2"/>
  <c r="L37" i="2"/>
  <c r="L38" i="2"/>
  <c r="L33" i="2"/>
  <c r="L28" i="2"/>
  <c r="L29" i="2"/>
  <c r="L30" i="2"/>
  <c r="L31" i="2"/>
  <c r="L26" i="2"/>
  <c r="L27" i="2"/>
  <c r="L14" i="2"/>
  <c r="L15" i="2"/>
  <c r="L16" i="2"/>
  <c r="L17" i="2"/>
  <c r="L18" i="2"/>
  <c r="L19" i="2"/>
  <c r="L20" i="2"/>
  <c r="L21" i="2"/>
  <c r="L13" i="2"/>
  <c r="L11" i="2"/>
  <c r="L5" i="2"/>
  <c r="L6" i="2"/>
  <c r="L7" i="2"/>
  <c r="L8" i="2"/>
  <c r="L9" i="2"/>
  <c r="L10" i="2"/>
  <c r="L4" i="2"/>
  <c r="K37" i="6" l="1"/>
  <c r="L84" i="5"/>
  <c r="K36" i="6"/>
  <c r="K34" i="3"/>
  <c r="K40" i="6"/>
  <c r="K41" i="6"/>
  <c r="K38" i="6"/>
  <c r="K34" i="6"/>
  <c r="L90" i="4"/>
  <c r="K33" i="3"/>
  <c r="L54" i="2"/>
  <c r="L177" i="6"/>
  <c r="L177" i="3"/>
  <c r="O127" i="9"/>
  <c r="Q127" i="9"/>
  <c r="M127" i="9"/>
  <c r="K127" i="9"/>
  <c r="I127" i="9"/>
  <c r="AC128" i="9"/>
  <c r="AC127" i="9"/>
  <c r="AA128" i="9"/>
  <c r="AA127" i="9"/>
  <c r="Y127" i="9"/>
  <c r="W127" i="9"/>
  <c r="U127" i="9"/>
  <c r="S127" i="9"/>
  <c r="G127" i="9"/>
  <c r="E127" i="9"/>
  <c r="O128" i="9"/>
  <c r="I128" i="9"/>
  <c r="G128" i="9"/>
  <c r="E128" i="9"/>
  <c r="Q128" i="9"/>
  <c r="K128" i="9"/>
  <c r="M128" i="9"/>
  <c r="W128" i="9"/>
  <c r="Y128" i="9"/>
  <c r="U128" i="9"/>
  <c r="S128" i="9"/>
  <c r="M15" i="7" l="1"/>
  <c r="M32" i="7"/>
  <c r="AC233" i="9"/>
  <c r="M31" i="7" s="1"/>
  <c r="N31" i="7" s="1"/>
  <c r="AA231" i="9"/>
  <c r="Y231" i="9"/>
  <c r="W231" i="9"/>
  <c r="U231" i="9"/>
  <c r="S231" i="9"/>
  <c r="Q231" i="9"/>
  <c r="O231" i="9"/>
  <c r="M231" i="9"/>
  <c r="K231" i="9"/>
  <c r="AC226" i="9"/>
  <c r="AA226" i="9"/>
  <c r="Y226" i="9"/>
  <c r="W226" i="9"/>
  <c r="U226" i="9"/>
  <c r="S226" i="9"/>
  <c r="Q226" i="9"/>
  <c r="O226" i="9"/>
  <c r="M226" i="9"/>
  <c r="K226" i="9"/>
  <c r="I226" i="9"/>
  <c r="G226" i="9"/>
  <c r="E226" i="9"/>
  <c r="AC225" i="9"/>
  <c r="AA225" i="9"/>
  <c r="Y225" i="9"/>
  <c r="W225" i="9"/>
  <c r="U225" i="9"/>
  <c r="S225" i="9"/>
  <c r="Q225" i="9"/>
  <c r="O225" i="9"/>
  <c r="M225" i="9"/>
  <c r="K225" i="9"/>
  <c r="I225" i="9"/>
  <c r="G225" i="9"/>
  <c r="E225" i="9"/>
  <c r="AC224" i="9"/>
  <c r="AA224" i="9"/>
  <c r="Y224" i="9"/>
  <c r="W224" i="9"/>
  <c r="U224" i="9"/>
  <c r="S224" i="9"/>
  <c r="Q224" i="9"/>
  <c r="O224" i="9"/>
  <c r="M224" i="9"/>
  <c r="K224" i="9"/>
  <c r="I224" i="9"/>
  <c r="G224" i="9"/>
  <c r="E224" i="9"/>
  <c r="AC223" i="9"/>
  <c r="AA223" i="9"/>
  <c r="Y223" i="9"/>
  <c r="W223" i="9"/>
  <c r="U223" i="9"/>
  <c r="S223" i="9"/>
  <c r="Q223" i="9"/>
  <c r="O223" i="9"/>
  <c r="M223" i="9"/>
  <c r="K223" i="9"/>
  <c r="I223" i="9"/>
  <c r="G223" i="9"/>
  <c r="E223" i="9"/>
  <c r="AC222" i="9"/>
  <c r="AA222" i="9"/>
  <c r="Y222" i="9"/>
  <c r="W222" i="9"/>
  <c r="U222" i="9"/>
  <c r="S222" i="9"/>
  <c r="Q222" i="9"/>
  <c r="O222" i="9"/>
  <c r="M222" i="9"/>
  <c r="K222" i="9"/>
  <c r="I222" i="9"/>
  <c r="G222" i="9"/>
  <c r="E222" i="9"/>
  <c r="AC221" i="9"/>
  <c r="AA221" i="9"/>
  <c r="Y221" i="9"/>
  <c r="W221" i="9"/>
  <c r="U221" i="9"/>
  <c r="S221" i="9"/>
  <c r="Q221" i="9"/>
  <c r="O221" i="9"/>
  <c r="M221" i="9"/>
  <c r="K221" i="9"/>
  <c r="I221" i="9"/>
  <c r="G221" i="9"/>
  <c r="E221" i="9"/>
  <c r="AC220" i="9"/>
  <c r="AA220" i="9"/>
  <c r="Y220" i="9"/>
  <c r="W220" i="9"/>
  <c r="U220" i="9"/>
  <c r="S220" i="9"/>
  <c r="Q220" i="9"/>
  <c r="O220" i="9"/>
  <c r="M220" i="9"/>
  <c r="K220" i="9"/>
  <c r="I220" i="9"/>
  <c r="G220" i="9"/>
  <c r="E220" i="9"/>
  <c r="AC219" i="9"/>
  <c r="AA219" i="9"/>
  <c r="Y219" i="9"/>
  <c r="W219" i="9"/>
  <c r="U219" i="9"/>
  <c r="S219" i="9"/>
  <c r="Q219" i="9"/>
  <c r="O219" i="9"/>
  <c r="M219" i="9"/>
  <c r="K219" i="9"/>
  <c r="I219" i="9"/>
  <c r="G219" i="9"/>
  <c r="E219" i="9"/>
  <c r="AC218" i="9"/>
  <c r="AA218" i="9"/>
  <c r="Y218" i="9"/>
  <c r="W218" i="9"/>
  <c r="U218" i="9"/>
  <c r="S218" i="9"/>
  <c r="Q218" i="9"/>
  <c r="O218" i="9"/>
  <c r="M218" i="9"/>
  <c r="K218" i="9"/>
  <c r="I218" i="9"/>
  <c r="G218" i="9"/>
  <c r="E218" i="9"/>
  <c r="AC217" i="9"/>
  <c r="AA217" i="9"/>
  <c r="Y217" i="9"/>
  <c r="W217" i="9"/>
  <c r="U217" i="9"/>
  <c r="S217" i="9"/>
  <c r="Q217" i="9"/>
  <c r="O217" i="9"/>
  <c r="M217" i="9"/>
  <c r="K217" i="9"/>
  <c r="I217" i="9"/>
  <c r="G217" i="9"/>
  <c r="E217" i="9"/>
  <c r="AC216" i="9"/>
  <c r="AA216" i="9"/>
  <c r="Y216" i="9"/>
  <c r="W216" i="9"/>
  <c r="U216" i="9"/>
  <c r="S216" i="9"/>
  <c r="Q216" i="9"/>
  <c r="O216" i="9"/>
  <c r="M216" i="9"/>
  <c r="K216" i="9"/>
  <c r="I216" i="9"/>
  <c r="G216" i="9"/>
  <c r="E216" i="9"/>
  <c r="AC215" i="9"/>
  <c r="AA215" i="9"/>
  <c r="Y215" i="9"/>
  <c r="W215" i="9"/>
  <c r="U215" i="9"/>
  <c r="S215" i="9"/>
  <c r="Q215" i="9"/>
  <c r="O215" i="9"/>
  <c r="M215" i="9"/>
  <c r="K215" i="9"/>
  <c r="I215" i="9"/>
  <c r="G215" i="9"/>
  <c r="E215" i="9"/>
  <c r="AC214" i="9"/>
  <c r="AA214" i="9"/>
  <c r="Y214" i="9"/>
  <c r="W214" i="9"/>
  <c r="U214" i="9"/>
  <c r="S214" i="9"/>
  <c r="Q214" i="9"/>
  <c r="O214" i="9"/>
  <c r="M214" i="9"/>
  <c r="K214" i="9"/>
  <c r="I214" i="9"/>
  <c r="G214" i="9"/>
  <c r="E214" i="9"/>
  <c r="AC213" i="9"/>
  <c r="AA213" i="9"/>
  <c r="Y213" i="9"/>
  <c r="W213" i="9"/>
  <c r="U213" i="9"/>
  <c r="S213" i="9"/>
  <c r="Q213" i="9"/>
  <c r="O213" i="9"/>
  <c r="M213" i="9"/>
  <c r="K213" i="9"/>
  <c r="I213" i="9"/>
  <c r="G213" i="9"/>
  <c r="E213" i="9"/>
  <c r="AC212" i="9"/>
  <c r="AA212" i="9"/>
  <c r="Y212" i="9"/>
  <c r="W212" i="9"/>
  <c r="U212" i="9"/>
  <c r="S212" i="9"/>
  <c r="Q212" i="9"/>
  <c r="O212" i="9"/>
  <c r="M212" i="9"/>
  <c r="K212" i="9"/>
  <c r="I212" i="9"/>
  <c r="G212" i="9"/>
  <c r="E212" i="9"/>
  <c r="AC211" i="9"/>
  <c r="AA211" i="9"/>
  <c r="Y211" i="9"/>
  <c r="W211" i="9"/>
  <c r="U211" i="9"/>
  <c r="S211" i="9"/>
  <c r="Q211" i="9"/>
  <c r="O211" i="9"/>
  <c r="M211" i="9"/>
  <c r="K211" i="9"/>
  <c r="I211" i="9"/>
  <c r="G211" i="9"/>
  <c r="E211" i="9"/>
  <c r="AC210" i="9"/>
  <c r="AA210" i="9"/>
  <c r="Y210" i="9"/>
  <c r="W210" i="9"/>
  <c r="U210" i="9"/>
  <c r="S210" i="9"/>
  <c r="Q210" i="9"/>
  <c r="O210" i="9"/>
  <c r="M210" i="9"/>
  <c r="K210" i="9"/>
  <c r="I210" i="9"/>
  <c r="G210" i="9"/>
  <c r="E210" i="9"/>
  <c r="AC209" i="9"/>
  <c r="AA209" i="9"/>
  <c r="Y209" i="9"/>
  <c r="W209" i="9"/>
  <c r="U209" i="9"/>
  <c r="S209" i="9"/>
  <c r="Q209" i="9"/>
  <c r="O209" i="9"/>
  <c r="M209" i="9"/>
  <c r="K209" i="9"/>
  <c r="I209" i="9"/>
  <c r="G209" i="9"/>
  <c r="E209" i="9"/>
  <c r="AC208" i="9"/>
  <c r="AA208" i="9"/>
  <c r="Y208" i="9"/>
  <c r="W208" i="9"/>
  <c r="U208" i="9"/>
  <c r="S208" i="9"/>
  <c r="Q208" i="9"/>
  <c r="O208" i="9"/>
  <c r="M208" i="9"/>
  <c r="K208" i="9"/>
  <c r="I208" i="9"/>
  <c r="G208" i="9"/>
  <c r="E208" i="9"/>
  <c r="AC207" i="9"/>
  <c r="AA207" i="9"/>
  <c r="Y207" i="9"/>
  <c r="W207" i="9"/>
  <c r="U207" i="9"/>
  <c r="S207" i="9"/>
  <c r="Q207" i="9"/>
  <c r="O207" i="9"/>
  <c r="M207" i="9"/>
  <c r="K207" i="9"/>
  <c r="I207" i="9"/>
  <c r="G207" i="9"/>
  <c r="E207" i="9"/>
  <c r="AC206" i="9"/>
  <c r="AA206" i="9"/>
  <c r="Y206" i="9"/>
  <c r="W206" i="9"/>
  <c r="U206" i="9"/>
  <c r="S206" i="9"/>
  <c r="Q206" i="9"/>
  <c r="O206" i="9"/>
  <c r="M206" i="9"/>
  <c r="K206" i="9"/>
  <c r="I206" i="9"/>
  <c r="G206" i="9"/>
  <c r="E206" i="9"/>
  <c r="AC205" i="9"/>
  <c r="AA205" i="9"/>
  <c r="Y205" i="9"/>
  <c r="W205" i="9"/>
  <c r="U205" i="9"/>
  <c r="S205" i="9"/>
  <c r="Q205" i="9"/>
  <c r="O205" i="9"/>
  <c r="M205" i="9"/>
  <c r="K205" i="9"/>
  <c r="I205" i="9"/>
  <c r="G205" i="9"/>
  <c r="E205" i="9"/>
  <c r="AC204" i="9"/>
  <c r="AA204" i="9"/>
  <c r="Y204" i="9"/>
  <c r="W204" i="9"/>
  <c r="U204" i="9"/>
  <c r="S204" i="9"/>
  <c r="Q204" i="9"/>
  <c r="O204" i="9"/>
  <c r="M204" i="9"/>
  <c r="K204" i="9"/>
  <c r="I204" i="9"/>
  <c r="G204" i="9"/>
  <c r="E204" i="9"/>
  <c r="AC203" i="9"/>
  <c r="AA203" i="9"/>
  <c r="Y203" i="9"/>
  <c r="W203" i="9"/>
  <c r="U203" i="9"/>
  <c r="S203" i="9"/>
  <c r="Q203" i="9"/>
  <c r="O203" i="9"/>
  <c r="M203" i="9"/>
  <c r="K203" i="9"/>
  <c r="I203" i="9"/>
  <c r="G203" i="9"/>
  <c r="E203" i="9"/>
  <c r="AC202" i="9"/>
  <c r="AA202" i="9"/>
  <c r="Y202" i="9"/>
  <c r="W202" i="9"/>
  <c r="U202" i="9"/>
  <c r="S202" i="9"/>
  <c r="Q202" i="9"/>
  <c r="O202" i="9"/>
  <c r="M202" i="9"/>
  <c r="K202" i="9"/>
  <c r="I202" i="9"/>
  <c r="G202" i="9"/>
  <c r="E202" i="9"/>
  <c r="AC201" i="9"/>
  <c r="AA201" i="9"/>
  <c r="Y201" i="9"/>
  <c r="W201" i="9"/>
  <c r="U201" i="9"/>
  <c r="S201" i="9"/>
  <c r="Q201" i="9"/>
  <c r="O201" i="9"/>
  <c r="M201" i="9"/>
  <c r="K201" i="9"/>
  <c r="I201" i="9"/>
  <c r="G201" i="9"/>
  <c r="E201" i="9"/>
  <c r="AC200" i="9"/>
  <c r="AA200" i="9"/>
  <c r="Y200" i="9"/>
  <c r="W200" i="9"/>
  <c r="U200" i="9"/>
  <c r="S200" i="9"/>
  <c r="Q200" i="9"/>
  <c r="O200" i="9"/>
  <c r="M200" i="9"/>
  <c r="K200" i="9"/>
  <c r="I200" i="9"/>
  <c r="G200" i="9"/>
  <c r="E200" i="9"/>
  <c r="AC199" i="9"/>
  <c r="AA199" i="9"/>
  <c r="Y199" i="9"/>
  <c r="W199" i="9"/>
  <c r="U199" i="9"/>
  <c r="S199" i="9"/>
  <c r="Q199" i="9"/>
  <c r="O199" i="9"/>
  <c r="M199" i="9"/>
  <c r="K199" i="9"/>
  <c r="I199" i="9"/>
  <c r="G199" i="9"/>
  <c r="E199" i="9"/>
  <c r="AC198" i="9"/>
  <c r="AA198" i="9"/>
  <c r="Y198" i="9"/>
  <c r="W198" i="9"/>
  <c r="U198" i="9"/>
  <c r="S198" i="9"/>
  <c r="Q198" i="9"/>
  <c r="O198" i="9"/>
  <c r="M198" i="9"/>
  <c r="K198" i="9"/>
  <c r="I198" i="9"/>
  <c r="G198" i="9"/>
  <c r="E198" i="9"/>
  <c r="AC197" i="9"/>
  <c r="AA197" i="9"/>
  <c r="Y197" i="9"/>
  <c r="W197" i="9"/>
  <c r="U197" i="9"/>
  <c r="S197" i="9"/>
  <c r="Q197" i="9"/>
  <c r="O197" i="9"/>
  <c r="M197" i="9"/>
  <c r="K197" i="9"/>
  <c r="I197" i="9"/>
  <c r="G197" i="9"/>
  <c r="E197" i="9"/>
  <c r="AC196" i="9"/>
  <c r="AA196" i="9"/>
  <c r="Y196" i="9"/>
  <c r="W196" i="9"/>
  <c r="U196" i="9"/>
  <c r="S196" i="9"/>
  <c r="Q196" i="9"/>
  <c r="O196" i="9"/>
  <c r="M196" i="9"/>
  <c r="K196" i="9"/>
  <c r="I196" i="9"/>
  <c r="G196" i="9"/>
  <c r="E196" i="9"/>
  <c r="AC195" i="9"/>
  <c r="AA195" i="9"/>
  <c r="Y195" i="9"/>
  <c r="W195" i="9"/>
  <c r="U195" i="9"/>
  <c r="S195" i="9"/>
  <c r="Q195" i="9"/>
  <c r="O195" i="9"/>
  <c r="M195" i="9"/>
  <c r="K195" i="9"/>
  <c r="I195" i="9"/>
  <c r="G195" i="9"/>
  <c r="E195" i="9"/>
  <c r="AC194" i="9"/>
  <c r="AA194" i="9"/>
  <c r="Y194" i="9"/>
  <c r="W194" i="9"/>
  <c r="U194" i="9"/>
  <c r="S194" i="9"/>
  <c r="Q194" i="9"/>
  <c r="O194" i="9"/>
  <c r="M194" i="9"/>
  <c r="K194" i="9"/>
  <c r="I194" i="9"/>
  <c r="G194" i="9"/>
  <c r="E194" i="9"/>
  <c r="AC193" i="9"/>
  <c r="AA193" i="9"/>
  <c r="Y193" i="9"/>
  <c r="W193" i="9"/>
  <c r="U193" i="9"/>
  <c r="S193" i="9"/>
  <c r="Q193" i="9"/>
  <c r="O193" i="9"/>
  <c r="M193" i="9"/>
  <c r="K193" i="9"/>
  <c r="I193" i="9"/>
  <c r="G193" i="9"/>
  <c r="E193" i="9"/>
  <c r="AC192" i="9"/>
  <c r="AA192" i="9"/>
  <c r="Y192" i="9"/>
  <c r="W192" i="9"/>
  <c r="U192" i="9"/>
  <c r="S192" i="9"/>
  <c r="Q192" i="9"/>
  <c r="O192" i="9"/>
  <c r="M192" i="9"/>
  <c r="K192" i="9"/>
  <c r="I192" i="9"/>
  <c r="G192" i="9"/>
  <c r="E192" i="9"/>
  <c r="AC191" i="9"/>
  <c r="AA191" i="9"/>
  <c r="Y191" i="9"/>
  <c r="W191" i="9"/>
  <c r="U191" i="9"/>
  <c r="S191" i="9"/>
  <c r="Q191" i="9"/>
  <c r="O191" i="9"/>
  <c r="M191" i="9"/>
  <c r="K191" i="9"/>
  <c r="I191" i="9"/>
  <c r="G191" i="9"/>
  <c r="E191" i="9"/>
  <c r="AC190" i="9"/>
  <c r="AA190" i="9"/>
  <c r="Y190" i="9"/>
  <c r="W190" i="9"/>
  <c r="U190" i="9"/>
  <c r="S190" i="9"/>
  <c r="Q190" i="9"/>
  <c r="O190" i="9"/>
  <c r="M190" i="9"/>
  <c r="K190" i="9"/>
  <c r="I190" i="9"/>
  <c r="G190" i="9"/>
  <c r="E190" i="9"/>
  <c r="AC189" i="9"/>
  <c r="AA189" i="9"/>
  <c r="Y189" i="9"/>
  <c r="W189" i="9"/>
  <c r="U189" i="9"/>
  <c r="S189" i="9"/>
  <c r="Q189" i="9"/>
  <c r="O189" i="9"/>
  <c r="M189" i="9"/>
  <c r="K189" i="9"/>
  <c r="I189" i="9"/>
  <c r="G189" i="9"/>
  <c r="E189" i="9"/>
  <c r="AC188" i="9"/>
  <c r="AA188" i="9"/>
  <c r="Y188" i="9"/>
  <c r="W188" i="9"/>
  <c r="U188" i="9"/>
  <c r="S188" i="9"/>
  <c r="Q188" i="9"/>
  <c r="O188" i="9"/>
  <c r="M188" i="9"/>
  <c r="K188" i="9"/>
  <c r="I188" i="9"/>
  <c r="G188" i="9"/>
  <c r="E188" i="9"/>
  <c r="AC187" i="9"/>
  <c r="AA187" i="9"/>
  <c r="Y187" i="9"/>
  <c r="W187" i="9"/>
  <c r="U187" i="9"/>
  <c r="S187" i="9"/>
  <c r="Q187" i="9"/>
  <c r="O187" i="9"/>
  <c r="M187" i="9"/>
  <c r="K187" i="9"/>
  <c r="I187" i="9"/>
  <c r="G187" i="9"/>
  <c r="E187" i="9"/>
  <c r="AC186" i="9"/>
  <c r="AA186" i="9"/>
  <c r="Y186" i="9"/>
  <c r="W186" i="9"/>
  <c r="U186" i="9"/>
  <c r="S186" i="9"/>
  <c r="Q186" i="9"/>
  <c r="O186" i="9"/>
  <c r="M186" i="9"/>
  <c r="K186" i="9"/>
  <c r="I186" i="9"/>
  <c r="G186" i="9"/>
  <c r="E186" i="9"/>
  <c r="AC185" i="9"/>
  <c r="AA185" i="9"/>
  <c r="Y185" i="9"/>
  <c r="W185" i="9"/>
  <c r="U185" i="9"/>
  <c r="S185" i="9"/>
  <c r="Q185" i="9"/>
  <c r="O185" i="9"/>
  <c r="M185" i="9"/>
  <c r="K185" i="9"/>
  <c r="I185" i="9"/>
  <c r="G185" i="9"/>
  <c r="E185" i="9"/>
  <c r="AC184" i="9"/>
  <c r="AA184" i="9"/>
  <c r="Y184" i="9"/>
  <c r="W184" i="9"/>
  <c r="U184" i="9"/>
  <c r="S184" i="9"/>
  <c r="Q184" i="9"/>
  <c r="O184" i="9"/>
  <c r="M184" i="9"/>
  <c r="K184" i="9"/>
  <c r="I184" i="9"/>
  <c r="G184" i="9"/>
  <c r="E184" i="9"/>
  <c r="AC183" i="9"/>
  <c r="AA183" i="9"/>
  <c r="Y183" i="9"/>
  <c r="W183" i="9"/>
  <c r="U183" i="9"/>
  <c r="S183" i="9"/>
  <c r="Q183" i="9"/>
  <c r="O183" i="9"/>
  <c r="M183" i="9"/>
  <c r="K183" i="9"/>
  <c r="I183" i="9"/>
  <c r="G183" i="9"/>
  <c r="E183" i="9"/>
  <c r="AC182" i="9"/>
  <c r="AA182" i="9"/>
  <c r="Y182" i="9"/>
  <c r="W182" i="9"/>
  <c r="U182" i="9"/>
  <c r="S182" i="9"/>
  <c r="Q182" i="9"/>
  <c r="O182" i="9"/>
  <c r="M182" i="9"/>
  <c r="K182" i="9"/>
  <c r="I182" i="9"/>
  <c r="G182" i="9"/>
  <c r="E182" i="9"/>
  <c r="AC181" i="9"/>
  <c r="AA181" i="9"/>
  <c r="Y181" i="9"/>
  <c r="W181" i="9"/>
  <c r="U181" i="9"/>
  <c r="S181" i="9"/>
  <c r="Q181" i="9"/>
  <c r="O181" i="9"/>
  <c r="M181" i="9"/>
  <c r="K181" i="9"/>
  <c r="I181" i="9"/>
  <c r="G181" i="9"/>
  <c r="E181" i="9"/>
  <c r="AC180" i="9"/>
  <c r="AA180" i="9"/>
  <c r="Y180" i="9"/>
  <c r="W180" i="9"/>
  <c r="U180" i="9"/>
  <c r="S180" i="9"/>
  <c r="Q180" i="9"/>
  <c r="O180" i="9"/>
  <c r="M180" i="9"/>
  <c r="K180" i="9"/>
  <c r="I180" i="9"/>
  <c r="G180" i="9"/>
  <c r="E180" i="9"/>
  <c r="AC179" i="9"/>
  <c r="AA179" i="9"/>
  <c r="Y179" i="9"/>
  <c r="W179" i="9"/>
  <c r="U179" i="9"/>
  <c r="S179" i="9"/>
  <c r="Q179" i="9"/>
  <c r="O179" i="9"/>
  <c r="M179" i="9"/>
  <c r="K179" i="9"/>
  <c r="I179" i="9"/>
  <c r="G179" i="9"/>
  <c r="E179" i="9"/>
  <c r="AC178" i="9"/>
  <c r="AA178" i="9"/>
  <c r="Y178" i="9"/>
  <c r="W178" i="9"/>
  <c r="U178" i="9"/>
  <c r="S178" i="9"/>
  <c r="Q178" i="9"/>
  <c r="O178" i="9"/>
  <c r="M178" i="9"/>
  <c r="K178" i="9"/>
  <c r="I178" i="9"/>
  <c r="G178" i="9"/>
  <c r="E178" i="9"/>
  <c r="AC177" i="9"/>
  <c r="AA177" i="9"/>
  <c r="Y177" i="9"/>
  <c r="W177" i="9"/>
  <c r="U177" i="9"/>
  <c r="S177" i="9"/>
  <c r="Q177" i="9"/>
  <c r="O177" i="9"/>
  <c r="M177" i="9"/>
  <c r="K177" i="9"/>
  <c r="I177" i="9"/>
  <c r="G177" i="9"/>
  <c r="E177" i="9"/>
  <c r="AC176" i="9"/>
  <c r="AA176" i="9"/>
  <c r="Y176" i="9"/>
  <c r="W176" i="9"/>
  <c r="U176" i="9"/>
  <c r="S176" i="9"/>
  <c r="Q176" i="9"/>
  <c r="O176" i="9"/>
  <c r="M176" i="9"/>
  <c r="K176" i="9"/>
  <c r="I176" i="9"/>
  <c r="G176" i="9"/>
  <c r="E176" i="9"/>
  <c r="AC175" i="9"/>
  <c r="AA175" i="9"/>
  <c r="Y175" i="9"/>
  <c r="W175" i="9"/>
  <c r="U175" i="9"/>
  <c r="S175" i="9"/>
  <c r="Q175" i="9"/>
  <c r="O175" i="9"/>
  <c r="M175" i="9"/>
  <c r="K175" i="9"/>
  <c r="I175" i="9"/>
  <c r="G175" i="9"/>
  <c r="E175" i="9"/>
  <c r="AC174" i="9"/>
  <c r="AA174" i="9"/>
  <c r="Y174" i="9"/>
  <c r="W174" i="9"/>
  <c r="U174" i="9"/>
  <c r="S174" i="9"/>
  <c r="Q174" i="9"/>
  <c r="O174" i="9"/>
  <c r="M174" i="9"/>
  <c r="K174" i="9"/>
  <c r="I174" i="9"/>
  <c r="G174" i="9"/>
  <c r="E174" i="9"/>
  <c r="AC173" i="9"/>
  <c r="AA173" i="9"/>
  <c r="Y173" i="9"/>
  <c r="W173" i="9"/>
  <c r="U173" i="9"/>
  <c r="S173" i="9"/>
  <c r="Q173" i="9"/>
  <c r="O173" i="9"/>
  <c r="M173" i="9"/>
  <c r="K173" i="9"/>
  <c r="I173" i="9"/>
  <c r="G173" i="9"/>
  <c r="E173" i="9"/>
  <c r="AC172" i="9"/>
  <c r="AA172" i="9"/>
  <c r="Y172" i="9"/>
  <c r="W172" i="9"/>
  <c r="U172" i="9"/>
  <c r="S172" i="9"/>
  <c r="Q172" i="9"/>
  <c r="O172" i="9"/>
  <c r="M172" i="9"/>
  <c r="K172" i="9"/>
  <c r="I172" i="9"/>
  <c r="G172" i="9"/>
  <c r="E172" i="9"/>
  <c r="AC171" i="9"/>
  <c r="AA171" i="9"/>
  <c r="Y171" i="9"/>
  <c r="W171" i="9"/>
  <c r="U171" i="9"/>
  <c r="S171" i="9"/>
  <c r="Q171" i="9"/>
  <c r="O171" i="9"/>
  <c r="M171" i="9"/>
  <c r="K171" i="9"/>
  <c r="I171" i="9"/>
  <c r="G171" i="9"/>
  <c r="E171" i="9"/>
  <c r="AC170" i="9"/>
  <c r="AA170" i="9"/>
  <c r="Y170" i="9"/>
  <c r="W170" i="9"/>
  <c r="U170" i="9"/>
  <c r="S170" i="9"/>
  <c r="Q170" i="9"/>
  <c r="O170" i="9"/>
  <c r="M170" i="9"/>
  <c r="K170" i="9"/>
  <c r="I170" i="9"/>
  <c r="G170" i="9"/>
  <c r="E170" i="9"/>
  <c r="AC169" i="9"/>
  <c r="AA169" i="9"/>
  <c r="Y169" i="9"/>
  <c r="W169" i="9"/>
  <c r="U169" i="9"/>
  <c r="S169" i="9"/>
  <c r="Q169" i="9"/>
  <c r="O169" i="9"/>
  <c r="M169" i="9"/>
  <c r="K169" i="9"/>
  <c r="I169" i="9"/>
  <c r="G169" i="9"/>
  <c r="E169" i="9"/>
  <c r="AC168" i="9"/>
  <c r="AA168" i="9"/>
  <c r="Y168" i="9"/>
  <c r="W168" i="9"/>
  <c r="U168" i="9"/>
  <c r="S168" i="9"/>
  <c r="Q168" i="9"/>
  <c r="O168" i="9"/>
  <c r="M168" i="9"/>
  <c r="K168" i="9"/>
  <c r="I168" i="9"/>
  <c r="G168" i="9"/>
  <c r="E168" i="9"/>
  <c r="AC167" i="9"/>
  <c r="AA167" i="9"/>
  <c r="Y167" i="9"/>
  <c r="W167" i="9"/>
  <c r="U167" i="9"/>
  <c r="S167" i="9"/>
  <c r="Q167" i="9"/>
  <c r="O167" i="9"/>
  <c r="M167" i="9"/>
  <c r="K167" i="9"/>
  <c r="I167" i="9"/>
  <c r="G167" i="9"/>
  <c r="E167" i="9"/>
  <c r="AC166" i="9"/>
  <c r="AA166" i="9"/>
  <c r="Y166" i="9"/>
  <c r="W166" i="9"/>
  <c r="U166" i="9"/>
  <c r="S166" i="9"/>
  <c r="Q166" i="9"/>
  <c r="O166" i="9"/>
  <c r="M166" i="9"/>
  <c r="K166" i="9"/>
  <c r="I166" i="9"/>
  <c r="G166" i="9"/>
  <c r="E166" i="9"/>
  <c r="AC165" i="9"/>
  <c r="AA165" i="9"/>
  <c r="Y165" i="9"/>
  <c r="W165" i="9"/>
  <c r="U165" i="9"/>
  <c r="S165" i="9"/>
  <c r="Q165" i="9"/>
  <c r="O165" i="9"/>
  <c r="M165" i="9"/>
  <c r="K165" i="9"/>
  <c r="I165" i="9"/>
  <c r="G165" i="9"/>
  <c r="E165" i="9"/>
  <c r="AC164" i="9"/>
  <c r="AA164" i="9"/>
  <c r="Y164" i="9"/>
  <c r="W164" i="9"/>
  <c r="U164" i="9"/>
  <c r="S164" i="9"/>
  <c r="Q164" i="9"/>
  <c r="O164" i="9"/>
  <c r="M164" i="9"/>
  <c r="K164" i="9"/>
  <c r="I164" i="9"/>
  <c r="G164" i="9"/>
  <c r="E164" i="9"/>
  <c r="AC163" i="9"/>
  <c r="AA163" i="9"/>
  <c r="Y163" i="9"/>
  <c r="W163" i="9"/>
  <c r="U163" i="9"/>
  <c r="S163" i="9"/>
  <c r="Q163" i="9"/>
  <c r="O163" i="9"/>
  <c r="M163" i="9"/>
  <c r="K163" i="9"/>
  <c r="I163" i="9"/>
  <c r="G163" i="9"/>
  <c r="E163" i="9"/>
  <c r="AC162" i="9"/>
  <c r="AA162" i="9"/>
  <c r="Y162" i="9"/>
  <c r="W162" i="9"/>
  <c r="U162" i="9"/>
  <c r="S162" i="9"/>
  <c r="Q162" i="9"/>
  <c r="O162" i="9"/>
  <c r="M162" i="9"/>
  <c r="K162" i="9"/>
  <c r="I162" i="9"/>
  <c r="G162" i="9"/>
  <c r="E162" i="9"/>
  <c r="AC161" i="9"/>
  <c r="AA161" i="9"/>
  <c r="Y161" i="9"/>
  <c r="W161" i="9"/>
  <c r="U161" i="9"/>
  <c r="S161" i="9"/>
  <c r="Q161" i="9"/>
  <c r="O161" i="9"/>
  <c r="M161" i="9"/>
  <c r="K161" i="9"/>
  <c r="I161" i="9"/>
  <c r="G161" i="9"/>
  <c r="E161" i="9"/>
  <c r="AC160" i="9"/>
  <c r="AA160" i="9"/>
  <c r="Y160" i="9"/>
  <c r="W160" i="9"/>
  <c r="U160" i="9"/>
  <c r="S160" i="9"/>
  <c r="Q160" i="9"/>
  <c r="O160" i="9"/>
  <c r="M160" i="9"/>
  <c r="K160" i="9"/>
  <c r="I160" i="9"/>
  <c r="G160" i="9"/>
  <c r="E160" i="9"/>
  <c r="AC159" i="9"/>
  <c r="AA159" i="9"/>
  <c r="Y159" i="9"/>
  <c r="W159" i="9"/>
  <c r="U159" i="9"/>
  <c r="S159" i="9"/>
  <c r="Q159" i="9"/>
  <c r="O159" i="9"/>
  <c r="M159" i="9"/>
  <c r="K159" i="9"/>
  <c r="I159" i="9"/>
  <c r="G159" i="9"/>
  <c r="E159" i="9"/>
  <c r="AC158" i="9"/>
  <c r="AA158" i="9"/>
  <c r="Y158" i="9"/>
  <c r="W158" i="9"/>
  <c r="U158" i="9"/>
  <c r="S158" i="9"/>
  <c r="Q158" i="9"/>
  <c r="O158" i="9"/>
  <c r="M158" i="9"/>
  <c r="K158" i="9"/>
  <c r="I158" i="9"/>
  <c r="G158" i="9"/>
  <c r="E158" i="9"/>
  <c r="AC157" i="9"/>
  <c r="AA157" i="9"/>
  <c r="Y157" i="9"/>
  <c r="W157" i="9"/>
  <c r="U157" i="9"/>
  <c r="S157" i="9"/>
  <c r="Q157" i="9"/>
  <c r="O157" i="9"/>
  <c r="M157" i="9"/>
  <c r="K157" i="9"/>
  <c r="I157" i="9"/>
  <c r="G157" i="9"/>
  <c r="E157" i="9"/>
  <c r="AC156" i="9"/>
  <c r="AA156" i="9"/>
  <c r="Y156" i="9"/>
  <c r="W156" i="9"/>
  <c r="U156" i="9"/>
  <c r="S156" i="9"/>
  <c r="Q156" i="9"/>
  <c r="O156" i="9"/>
  <c r="M156" i="9"/>
  <c r="K156" i="9"/>
  <c r="I156" i="9"/>
  <c r="G156" i="9"/>
  <c r="E156" i="9"/>
  <c r="AC155" i="9"/>
  <c r="AA155" i="9"/>
  <c r="Y155" i="9"/>
  <c r="W155" i="9"/>
  <c r="U155" i="9"/>
  <c r="S155" i="9"/>
  <c r="Q155" i="9"/>
  <c r="O155" i="9"/>
  <c r="M155" i="9"/>
  <c r="K155" i="9"/>
  <c r="I155" i="9"/>
  <c r="G155" i="9"/>
  <c r="E155" i="9"/>
  <c r="AC154" i="9"/>
  <c r="AA154" i="9"/>
  <c r="Y154" i="9"/>
  <c r="W154" i="9"/>
  <c r="U154" i="9"/>
  <c r="S154" i="9"/>
  <c r="Q154" i="9"/>
  <c r="O154" i="9"/>
  <c r="M154" i="9"/>
  <c r="K154" i="9"/>
  <c r="I154" i="9"/>
  <c r="G154" i="9"/>
  <c r="E154" i="9"/>
  <c r="AC153" i="9"/>
  <c r="AA153" i="9"/>
  <c r="Y153" i="9"/>
  <c r="W153" i="9"/>
  <c r="U153" i="9"/>
  <c r="S153" i="9"/>
  <c r="Q153" i="9"/>
  <c r="O153" i="9"/>
  <c r="M153" i="9"/>
  <c r="K153" i="9"/>
  <c r="I153" i="9"/>
  <c r="G153" i="9"/>
  <c r="E153" i="9"/>
  <c r="AC152" i="9"/>
  <c r="AA152" i="9"/>
  <c r="Y152" i="9"/>
  <c r="W152" i="9"/>
  <c r="U152" i="9"/>
  <c r="S152" i="9"/>
  <c r="Q152" i="9"/>
  <c r="O152" i="9"/>
  <c r="M152" i="9"/>
  <c r="K152" i="9"/>
  <c r="I152" i="9"/>
  <c r="G152" i="9"/>
  <c r="E152" i="9"/>
  <c r="AC151" i="9"/>
  <c r="AA151" i="9"/>
  <c r="Y151" i="9"/>
  <c r="W151" i="9"/>
  <c r="U151" i="9"/>
  <c r="S151" i="9"/>
  <c r="Q151" i="9"/>
  <c r="O151" i="9"/>
  <c r="M151" i="9"/>
  <c r="K151" i="9"/>
  <c r="I151" i="9"/>
  <c r="G151" i="9"/>
  <c r="E151" i="9"/>
  <c r="AC150" i="9"/>
  <c r="AA150" i="9"/>
  <c r="Y150" i="9"/>
  <c r="W150" i="9"/>
  <c r="U150" i="9"/>
  <c r="S150" i="9"/>
  <c r="Q150" i="9"/>
  <c r="O150" i="9"/>
  <c r="M150" i="9"/>
  <c r="K150" i="9"/>
  <c r="I150" i="9"/>
  <c r="G150" i="9"/>
  <c r="E150" i="9"/>
  <c r="AC149" i="9"/>
  <c r="AA149" i="9"/>
  <c r="Y149" i="9"/>
  <c r="W149" i="9"/>
  <c r="U149" i="9"/>
  <c r="S149" i="9"/>
  <c r="Q149" i="9"/>
  <c r="O149" i="9"/>
  <c r="M149" i="9"/>
  <c r="K149" i="9"/>
  <c r="I149" i="9"/>
  <c r="G149" i="9"/>
  <c r="E149" i="9"/>
  <c r="AC148" i="9"/>
  <c r="AA148" i="9"/>
  <c r="Y148" i="9"/>
  <c r="W148" i="9"/>
  <c r="U148" i="9"/>
  <c r="S148" i="9"/>
  <c r="Q148" i="9"/>
  <c r="O148" i="9"/>
  <c r="M148" i="9"/>
  <c r="K148" i="9"/>
  <c r="I148" i="9"/>
  <c r="G148" i="9"/>
  <c r="E148" i="9"/>
  <c r="AC147" i="9"/>
  <c r="AA147" i="9"/>
  <c r="Y147" i="9"/>
  <c r="W147" i="9"/>
  <c r="U147" i="9"/>
  <c r="S147" i="9"/>
  <c r="Q147" i="9"/>
  <c r="O147" i="9"/>
  <c r="M147" i="9"/>
  <c r="K147" i="9"/>
  <c r="I147" i="9"/>
  <c r="G147" i="9"/>
  <c r="E147" i="9"/>
  <c r="AC146" i="9"/>
  <c r="AA146" i="9"/>
  <c r="Y146" i="9"/>
  <c r="W146" i="9"/>
  <c r="U146" i="9"/>
  <c r="S146" i="9"/>
  <c r="Q146" i="9"/>
  <c r="O146" i="9"/>
  <c r="M146" i="9"/>
  <c r="K146" i="9"/>
  <c r="I146" i="9"/>
  <c r="G146" i="9"/>
  <c r="E146" i="9"/>
  <c r="AC145" i="9"/>
  <c r="AA145" i="9"/>
  <c r="Y145" i="9"/>
  <c r="W145" i="9"/>
  <c r="U145" i="9"/>
  <c r="S145" i="9"/>
  <c r="Q145" i="9"/>
  <c r="O145" i="9"/>
  <c r="M145" i="9"/>
  <c r="K145" i="9"/>
  <c r="I145" i="9"/>
  <c r="G145" i="9"/>
  <c r="E145" i="9"/>
  <c r="AC144" i="9"/>
  <c r="AA144" i="9"/>
  <c r="Y144" i="9"/>
  <c r="W144" i="9"/>
  <c r="U144" i="9"/>
  <c r="S144" i="9"/>
  <c r="Q144" i="9"/>
  <c r="O144" i="9"/>
  <c r="M144" i="9"/>
  <c r="K144" i="9"/>
  <c r="I144" i="9"/>
  <c r="G144" i="9"/>
  <c r="E144" i="9"/>
  <c r="AC143" i="9"/>
  <c r="AA143" i="9"/>
  <c r="Y143" i="9"/>
  <c r="W143" i="9"/>
  <c r="U143" i="9"/>
  <c r="S143" i="9"/>
  <c r="Q143" i="9"/>
  <c r="O143" i="9"/>
  <c r="M143" i="9"/>
  <c r="K143" i="9"/>
  <c r="I143" i="9"/>
  <c r="G143" i="9"/>
  <c r="E143" i="9"/>
  <c r="AC142" i="9"/>
  <c r="AA142" i="9"/>
  <c r="Y142" i="9"/>
  <c r="W142" i="9"/>
  <c r="U142" i="9"/>
  <c r="S142" i="9"/>
  <c r="Q142" i="9"/>
  <c r="O142" i="9"/>
  <c r="M142" i="9"/>
  <c r="K142" i="9"/>
  <c r="I142" i="9"/>
  <c r="G142" i="9"/>
  <c r="E142" i="9"/>
  <c r="AC141" i="9"/>
  <c r="AA141" i="9"/>
  <c r="Y141" i="9"/>
  <c r="W141" i="9"/>
  <c r="U141" i="9"/>
  <c r="S141" i="9"/>
  <c r="Q141" i="9"/>
  <c r="O141" i="9"/>
  <c r="M141" i="9"/>
  <c r="K141" i="9"/>
  <c r="I141" i="9"/>
  <c r="G141" i="9"/>
  <c r="E141" i="9"/>
  <c r="AC140" i="9"/>
  <c r="AA140" i="9"/>
  <c r="Y140" i="9"/>
  <c r="W140" i="9"/>
  <c r="U140" i="9"/>
  <c r="S140" i="9"/>
  <c r="Q140" i="9"/>
  <c r="O140" i="9"/>
  <c r="M140" i="9"/>
  <c r="K140" i="9"/>
  <c r="I140" i="9"/>
  <c r="G140" i="9"/>
  <c r="E140" i="9"/>
  <c r="AC139" i="9"/>
  <c r="AA139" i="9"/>
  <c r="Y139" i="9"/>
  <c r="W139" i="9"/>
  <c r="U139" i="9"/>
  <c r="S139" i="9"/>
  <c r="Q139" i="9"/>
  <c r="O139" i="9"/>
  <c r="M139" i="9"/>
  <c r="K139" i="9"/>
  <c r="I139" i="9"/>
  <c r="G139" i="9"/>
  <c r="E139" i="9"/>
  <c r="AC138" i="9"/>
  <c r="AA138" i="9"/>
  <c r="Y138" i="9"/>
  <c r="W138" i="9"/>
  <c r="U138" i="9"/>
  <c r="S138" i="9"/>
  <c r="Q138" i="9"/>
  <c r="O138" i="9"/>
  <c r="M138" i="9"/>
  <c r="K138" i="9"/>
  <c r="I138" i="9"/>
  <c r="G138" i="9"/>
  <c r="E138" i="9"/>
  <c r="AC137" i="9"/>
  <c r="AA137" i="9"/>
  <c r="Y137" i="9"/>
  <c r="W137" i="9"/>
  <c r="U137" i="9"/>
  <c r="S137" i="9"/>
  <c r="Q137" i="9"/>
  <c r="O137" i="9"/>
  <c r="M137" i="9"/>
  <c r="K137" i="9"/>
  <c r="I137" i="9"/>
  <c r="G137" i="9"/>
  <c r="E137" i="9"/>
  <c r="AC136" i="9"/>
  <c r="AA136" i="9"/>
  <c r="Y136" i="9"/>
  <c r="W136" i="9"/>
  <c r="U136" i="9"/>
  <c r="S136" i="9"/>
  <c r="Q136" i="9"/>
  <c r="O136" i="9"/>
  <c r="M136" i="9"/>
  <c r="K136" i="9"/>
  <c r="I136" i="9"/>
  <c r="G136" i="9"/>
  <c r="E136" i="9"/>
  <c r="AC135" i="9"/>
  <c r="AA135" i="9"/>
  <c r="Y135" i="9"/>
  <c r="W135" i="9"/>
  <c r="U135" i="9"/>
  <c r="S135" i="9"/>
  <c r="Q135" i="9"/>
  <c r="O135" i="9"/>
  <c r="M135" i="9"/>
  <c r="K135" i="9"/>
  <c r="I135" i="9"/>
  <c r="G135" i="9"/>
  <c r="E135" i="9"/>
  <c r="AC134" i="9"/>
  <c r="AA134" i="9"/>
  <c r="Y134" i="9"/>
  <c r="W134" i="9"/>
  <c r="U134" i="9"/>
  <c r="S134" i="9"/>
  <c r="Q134" i="9"/>
  <c r="O134" i="9"/>
  <c r="M134" i="9"/>
  <c r="K134" i="9"/>
  <c r="I134" i="9"/>
  <c r="G134" i="9"/>
  <c r="E134" i="9"/>
  <c r="AC133" i="9"/>
  <c r="AA133" i="9"/>
  <c r="Y133" i="9"/>
  <c r="W133" i="9"/>
  <c r="U133" i="9"/>
  <c r="S133" i="9"/>
  <c r="Q133" i="9"/>
  <c r="O133" i="9"/>
  <c r="M133" i="9"/>
  <c r="K133" i="9"/>
  <c r="I133" i="9"/>
  <c r="G133" i="9"/>
  <c r="E133" i="9"/>
  <c r="AC132" i="9"/>
  <c r="AA132" i="9"/>
  <c r="Y132" i="9"/>
  <c r="W132" i="9"/>
  <c r="U132" i="9"/>
  <c r="S132" i="9"/>
  <c r="Q132" i="9"/>
  <c r="O132" i="9"/>
  <c r="M132" i="9"/>
  <c r="K132" i="9"/>
  <c r="I132" i="9"/>
  <c r="G132" i="9"/>
  <c r="E132" i="9"/>
  <c r="AC131" i="9"/>
  <c r="AA131" i="9"/>
  <c r="Y131" i="9"/>
  <c r="W131" i="9"/>
  <c r="U131" i="9"/>
  <c r="S131" i="9"/>
  <c r="Q131" i="9"/>
  <c r="O131" i="9"/>
  <c r="M131" i="9"/>
  <c r="K131" i="9"/>
  <c r="I131" i="9"/>
  <c r="G131" i="9"/>
  <c r="E131" i="9"/>
  <c r="AC130" i="9"/>
  <c r="AA130" i="9"/>
  <c r="Y130" i="9"/>
  <c r="W130" i="9"/>
  <c r="U130" i="9"/>
  <c r="S130" i="9"/>
  <c r="Q130" i="9"/>
  <c r="O130" i="9"/>
  <c r="M130" i="9"/>
  <c r="K130" i="9"/>
  <c r="I130" i="9"/>
  <c r="G130" i="9"/>
  <c r="E130" i="9"/>
  <c r="AC129" i="9"/>
  <c r="AA129" i="9"/>
  <c r="Y129" i="9"/>
  <c r="W129" i="9"/>
  <c r="U129" i="9"/>
  <c r="S129" i="9"/>
  <c r="Q129" i="9"/>
  <c r="O129" i="9"/>
  <c r="M129" i="9"/>
  <c r="K129" i="9"/>
  <c r="I129" i="9"/>
  <c r="G129" i="9"/>
  <c r="E129" i="9"/>
  <c r="AC126" i="9"/>
  <c r="AA126" i="9"/>
  <c r="Y126" i="9"/>
  <c r="W126" i="9"/>
  <c r="U126" i="9"/>
  <c r="S126" i="9"/>
  <c r="Q126" i="9"/>
  <c r="O126" i="9"/>
  <c r="M126" i="9"/>
  <c r="K126" i="9"/>
  <c r="I126" i="9"/>
  <c r="G126" i="9"/>
  <c r="E126" i="9"/>
  <c r="AC125" i="9"/>
  <c r="AA125" i="9"/>
  <c r="Y125" i="9"/>
  <c r="W125" i="9"/>
  <c r="U125" i="9"/>
  <c r="S125" i="9"/>
  <c r="Q125" i="9"/>
  <c r="O125" i="9"/>
  <c r="M125" i="9"/>
  <c r="K125" i="9"/>
  <c r="I125" i="9"/>
  <c r="G125" i="9"/>
  <c r="E125" i="9"/>
  <c r="AC124" i="9"/>
  <c r="AA124" i="9"/>
  <c r="Y124" i="9"/>
  <c r="W124" i="9"/>
  <c r="U124" i="9"/>
  <c r="S124" i="9"/>
  <c r="Q124" i="9"/>
  <c r="O124" i="9"/>
  <c r="M124" i="9"/>
  <c r="K124" i="9"/>
  <c r="I124" i="9"/>
  <c r="G124" i="9"/>
  <c r="E124" i="9"/>
  <c r="AC123" i="9"/>
  <c r="AA123" i="9"/>
  <c r="Y123" i="9"/>
  <c r="W123" i="9"/>
  <c r="U123" i="9"/>
  <c r="S123" i="9"/>
  <c r="Q123" i="9"/>
  <c r="O123" i="9"/>
  <c r="M123" i="9"/>
  <c r="K123" i="9"/>
  <c r="I123" i="9"/>
  <c r="G123" i="9"/>
  <c r="E123" i="9"/>
  <c r="AC122" i="9"/>
  <c r="AA122" i="9"/>
  <c r="Y122" i="9"/>
  <c r="W122" i="9"/>
  <c r="U122" i="9"/>
  <c r="S122" i="9"/>
  <c r="Q122" i="9"/>
  <c r="O122" i="9"/>
  <c r="M122" i="9"/>
  <c r="K122" i="9"/>
  <c r="I122" i="9"/>
  <c r="G122" i="9"/>
  <c r="E122" i="9"/>
  <c r="AC121" i="9"/>
  <c r="AA121" i="9"/>
  <c r="Y121" i="9"/>
  <c r="W121" i="9"/>
  <c r="U121" i="9"/>
  <c r="S121" i="9"/>
  <c r="Q121" i="9"/>
  <c r="O121" i="9"/>
  <c r="M121" i="9"/>
  <c r="K121" i="9"/>
  <c r="I121" i="9"/>
  <c r="G121" i="9"/>
  <c r="E121" i="9"/>
  <c r="AC120" i="9"/>
  <c r="AA120" i="9"/>
  <c r="Y120" i="9"/>
  <c r="W120" i="9"/>
  <c r="U120" i="9"/>
  <c r="S120" i="9"/>
  <c r="Q120" i="9"/>
  <c r="O120" i="9"/>
  <c r="M120" i="9"/>
  <c r="K120" i="9"/>
  <c r="I120" i="9"/>
  <c r="G120" i="9"/>
  <c r="E120" i="9"/>
  <c r="AC119" i="9"/>
  <c r="AA119" i="9"/>
  <c r="Y119" i="9"/>
  <c r="W119" i="9"/>
  <c r="U119" i="9"/>
  <c r="S119" i="9"/>
  <c r="Q119" i="9"/>
  <c r="O119" i="9"/>
  <c r="M119" i="9"/>
  <c r="K119" i="9"/>
  <c r="I119" i="9"/>
  <c r="G119" i="9"/>
  <c r="E119" i="9"/>
  <c r="AC118" i="9"/>
  <c r="AA118" i="9"/>
  <c r="Y118" i="9"/>
  <c r="W118" i="9"/>
  <c r="U118" i="9"/>
  <c r="S118" i="9"/>
  <c r="Q118" i="9"/>
  <c r="O118" i="9"/>
  <c r="M118" i="9"/>
  <c r="K118" i="9"/>
  <c r="I118" i="9"/>
  <c r="G118" i="9"/>
  <c r="E118" i="9"/>
  <c r="AC117" i="9"/>
  <c r="AA117" i="9"/>
  <c r="Y117" i="9"/>
  <c r="W117" i="9"/>
  <c r="U117" i="9"/>
  <c r="S117" i="9"/>
  <c r="Q117" i="9"/>
  <c r="O117" i="9"/>
  <c r="M117" i="9"/>
  <c r="K117" i="9"/>
  <c r="I117" i="9"/>
  <c r="G117" i="9"/>
  <c r="E117" i="9"/>
  <c r="AC116" i="9"/>
  <c r="AA116" i="9"/>
  <c r="Y116" i="9"/>
  <c r="W116" i="9"/>
  <c r="U116" i="9"/>
  <c r="S116" i="9"/>
  <c r="Q116" i="9"/>
  <c r="O116" i="9"/>
  <c r="M116" i="9"/>
  <c r="K116" i="9"/>
  <c r="I116" i="9"/>
  <c r="G116" i="9"/>
  <c r="E116" i="9"/>
  <c r="AC115" i="9"/>
  <c r="AA115" i="9"/>
  <c r="Y115" i="9"/>
  <c r="W115" i="9"/>
  <c r="U115" i="9"/>
  <c r="S115" i="9"/>
  <c r="Q115" i="9"/>
  <c r="O115" i="9"/>
  <c r="M115" i="9"/>
  <c r="K115" i="9"/>
  <c r="I115" i="9"/>
  <c r="G115" i="9"/>
  <c r="E115" i="9"/>
  <c r="AC114" i="9"/>
  <c r="AA114" i="9"/>
  <c r="Y114" i="9"/>
  <c r="W114" i="9"/>
  <c r="U114" i="9"/>
  <c r="S114" i="9"/>
  <c r="Q114" i="9"/>
  <c r="O114" i="9"/>
  <c r="M114" i="9"/>
  <c r="K114" i="9"/>
  <c r="I114" i="9"/>
  <c r="G114" i="9"/>
  <c r="E114" i="9"/>
  <c r="AC113" i="9"/>
  <c r="AA113" i="9"/>
  <c r="Y113" i="9"/>
  <c r="W113" i="9"/>
  <c r="U113" i="9"/>
  <c r="S113" i="9"/>
  <c r="Q113" i="9"/>
  <c r="O113" i="9"/>
  <c r="M113" i="9"/>
  <c r="K113" i="9"/>
  <c r="I113" i="9"/>
  <c r="G113" i="9"/>
  <c r="E113" i="9"/>
  <c r="AC112" i="9"/>
  <c r="AA112" i="9"/>
  <c r="Y112" i="9"/>
  <c r="W112" i="9"/>
  <c r="U112" i="9"/>
  <c r="S112" i="9"/>
  <c r="Q112" i="9"/>
  <c r="O112" i="9"/>
  <c r="M112" i="9"/>
  <c r="K112" i="9"/>
  <c r="I112" i="9"/>
  <c r="G112" i="9"/>
  <c r="E112" i="9"/>
  <c r="AC111" i="9"/>
  <c r="AA111" i="9"/>
  <c r="Y111" i="9"/>
  <c r="W111" i="9"/>
  <c r="U111" i="9"/>
  <c r="S111" i="9"/>
  <c r="Q111" i="9"/>
  <c r="O111" i="9"/>
  <c r="M111" i="9"/>
  <c r="K111" i="9"/>
  <c r="I111" i="9"/>
  <c r="G111" i="9"/>
  <c r="E111" i="9"/>
  <c r="AC110" i="9"/>
  <c r="AA110" i="9"/>
  <c r="Y110" i="9"/>
  <c r="W110" i="9"/>
  <c r="U110" i="9"/>
  <c r="S110" i="9"/>
  <c r="Q110" i="9"/>
  <c r="O110" i="9"/>
  <c r="M110" i="9"/>
  <c r="K110" i="9"/>
  <c r="I110" i="9"/>
  <c r="G110" i="9"/>
  <c r="E110" i="9"/>
  <c r="AC109" i="9"/>
  <c r="AA109" i="9"/>
  <c r="Y109" i="9"/>
  <c r="W109" i="9"/>
  <c r="U109" i="9"/>
  <c r="S109" i="9"/>
  <c r="Q109" i="9"/>
  <c r="O109" i="9"/>
  <c r="M109" i="9"/>
  <c r="K109" i="9"/>
  <c r="I109" i="9"/>
  <c r="G109" i="9"/>
  <c r="E109" i="9"/>
  <c r="AC108" i="9"/>
  <c r="AA108" i="9"/>
  <c r="Y108" i="9"/>
  <c r="W108" i="9"/>
  <c r="U108" i="9"/>
  <c r="S108" i="9"/>
  <c r="Q108" i="9"/>
  <c r="O108" i="9"/>
  <c r="M108" i="9"/>
  <c r="K108" i="9"/>
  <c r="I108" i="9"/>
  <c r="G108" i="9"/>
  <c r="E108" i="9"/>
  <c r="AC107" i="9"/>
  <c r="AA107" i="9"/>
  <c r="Y107" i="9"/>
  <c r="W107" i="9"/>
  <c r="U107" i="9"/>
  <c r="S107" i="9"/>
  <c r="Q107" i="9"/>
  <c r="O107" i="9"/>
  <c r="M107" i="9"/>
  <c r="K107" i="9"/>
  <c r="I107" i="9"/>
  <c r="G107" i="9"/>
  <c r="E107" i="9"/>
  <c r="AC106" i="9"/>
  <c r="AA106" i="9"/>
  <c r="Y106" i="9"/>
  <c r="W106" i="9"/>
  <c r="U106" i="9"/>
  <c r="S106" i="9"/>
  <c r="Q106" i="9"/>
  <c r="O106" i="9"/>
  <c r="M106" i="9"/>
  <c r="K106" i="9"/>
  <c r="I106" i="9"/>
  <c r="G106" i="9"/>
  <c r="E106" i="9"/>
  <c r="AC105" i="9"/>
  <c r="AA105" i="9"/>
  <c r="Y105" i="9"/>
  <c r="W105" i="9"/>
  <c r="U105" i="9"/>
  <c r="S105" i="9"/>
  <c r="Q105" i="9"/>
  <c r="O105" i="9"/>
  <c r="M105" i="9"/>
  <c r="K105" i="9"/>
  <c r="I105" i="9"/>
  <c r="G105" i="9"/>
  <c r="E105" i="9"/>
  <c r="AC104" i="9"/>
  <c r="AA104" i="9"/>
  <c r="Y104" i="9"/>
  <c r="W104" i="9"/>
  <c r="U104" i="9"/>
  <c r="S104" i="9"/>
  <c r="Q104" i="9"/>
  <c r="O104" i="9"/>
  <c r="M104" i="9"/>
  <c r="K104" i="9"/>
  <c r="I104" i="9"/>
  <c r="G104" i="9"/>
  <c r="E104" i="9"/>
  <c r="AC103" i="9"/>
  <c r="AA103" i="9"/>
  <c r="Y103" i="9"/>
  <c r="W103" i="9"/>
  <c r="U103" i="9"/>
  <c r="S103" i="9"/>
  <c r="Q103" i="9"/>
  <c r="O103" i="9"/>
  <c r="M103" i="9"/>
  <c r="K103" i="9"/>
  <c r="I103" i="9"/>
  <c r="G103" i="9"/>
  <c r="E103" i="9"/>
  <c r="AC102" i="9"/>
  <c r="AA102" i="9"/>
  <c r="Y102" i="9"/>
  <c r="W102" i="9"/>
  <c r="U102" i="9"/>
  <c r="S102" i="9"/>
  <c r="Q102" i="9"/>
  <c r="O102" i="9"/>
  <c r="M102" i="9"/>
  <c r="K102" i="9"/>
  <c r="I102" i="9"/>
  <c r="G102" i="9"/>
  <c r="E102" i="9"/>
  <c r="AC101" i="9"/>
  <c r="AA101" i="9"/>
  <c r="Y101" i="9"/>
  <c r="W101" i="9"/>
  <c r="U101" i="9"/>
  <c r="S101" i="9"/>
  <c r="Q101" i="9"/>
  <c r="O101" i="9"/>
  <c r="M101" i="9"/>
  <c r="K101" i="9"/>
  <c r="I101" i="9"/>
  <c r="G101" i="9"/>
  <c r="E101" i="9"/>
  <c r="AC100" i="9"/>
  <c r="AA100" i="9"/>
  <c r="Y100" i="9"/>
  <c r="W100" i="9"/>
  <c r="U100" i="9"/>
  <c r="S100" i="9"/>
  <c r="Q100" i="9"/>
  <c r="O100" i="9"/>
  <c r="M100" i="9"/>
  <c r="K100" i="9"/>
  <c r="I100" i="9"/>
  <c r="G100" i="9"/>
  <c r="E100" i="9"/>
  <c r="AC99" i="9"/>
  <c r="AA99" i="9"/>
  <c r="Y99" i="9"/>
  <c r="W99" i="9"/>
  <c r="U99" i="9"/>
  <c r="S99" i="9"/>
  <c r="Q99" i="9"/>
  <c r="O99" i="9"/>
  <c r="M99" i="9"/>
  <c r="K99" i="9"/>
  <c r="I99" i="9"/>
  <c r="G99" i="9"/>
  <c r="E99" i="9"/>
  <c r="AC98" i="9"/>
  <c r="AA98" i="9"/>
  <c r="Y98" i="9"/>
  <c r="W98" i="9"/>
  <c r="U98" i="9"/>
  <c r="S98" i="9"/>
  <c r="Q98" i="9"/>
  <c r="O98" i="9"/>
  <c r="M98" i="9"/>
  <c r="K98" i="9"/>
  <c r="I98" i="9"/>
  <c r="G98" i="9"/>
  <c r="E98" i="9"/>
  <c r="AC97" i="9"/>
  <c r="AA97" i="9"/>
  <c r="Y97" i="9"/>
  <c r="W97" i="9"/>
  <c r="U97" i="9"/>
  <c r="S97" i="9"/>
  <c r="Q97" i="9"/>
  <c r="O97" i="9"/>
  <c r="M97" i="9"/>
  <c r="K97" i="9"/>
  <c r="I97" i="9"/>
  <c r="G97" i="9"/>
  <c r="E97" i="9"/>
  <c r="AC96" i="9"/>
  <c r="AA96" i="9"/>
  <c r="Y96" i="9"/>
  <c r="W96" i="9"/>
  <c r="U96" i="9"/>
  <c r="S96" i="9"/>
  <c r="Q96" i="9"/>
  <c r="O96" i="9"/>
  <c r="M96" i="9"/>
  <c r="K96" i="9"/>
  <c r="I96" i="9"/>
  <c r="G96" i="9"/>
  <c r="E96" i="9"/>
  <c r="AC95" i="9"/>
  <c r="AA95" i="9"/>
  <c r="Y95" i="9"/>
  <c r="W95" i="9"/>
  <c r="U95" i="9"/>
  <c r="S95" i="9"/>
  <c r="Q95" i="9"/>
  <c r="O95" i="9"/>
  <c r="M95" i="9"/>
  <c r="K95" i="9"/>
  <c r="I95" i="9"/>
  <c r="G95" i="9"/>
  <c r="E95" i="9"/>
  <c r="AC94" i="9"/>
  <c r="AA94" i="9"/>
  <c r="Y94" i="9"/>
  <c r="W94" i="9"/>
  <c r="U94" i="9"/>
  <c r="S94" i="9"/>
  <c r="Q94" i="9"/>
  <c r="O94" i="9"/>
  <c r="M94" i="9"/>
  <c r="K94" i="9"/>
  <c r="I94" i="9"/>
  <c r="G94" i="9"/>
  <c r="E94" i="9"/>
  <c r="AC93" i="9"/>
  <c r="AA93" i="9"/>
  <c r="Y93" i="9"/>
  <c r="W93" i="9"/>
  <c r="U93" i="9"/>
  <c r="S93" i="9"/>
  <c r="Q93" i="9"/>
  <c r="O93" i="9"/>
  <c r="M93" i="9"/>
  <c r="K93" i="9"/>
  <c r="I93" i="9"/>
  <c r="G93" i="9"/>
  <c r="E93" i="9"/>
  <c r="AC92" i="9"/>
  <c r="AA92" i="9"/>
  <c r="Y92" i="9"/>
  <c r="W92" i="9"/>
  <c r="U92" i="9"/>
  <c r="S92" i="9"/>
  <c r="Q92" i="9"/>
  <c r="O92" i="9"/>
  <c r="M92" i="9"/>
  <c r="K92" i="9"/>
  <c r="I92" i="9"/>
  <c r="G92" i="9"/>
  <c r="E92" i="9"/>
  <c r="AC91" i="9"/>
  <c r="AA91" i="9"/>
  <c r="Y91" i="9"/>
  <c r="W91" i="9"/>
  <c r="U91" i="9"/>
  <c r="S91" i="9"/>
  <c r="Q91" i="9"/>
  <c r="O91" i="9"/>
  <c r="M91" i="9"/>
  <c r="K91" i="9"/>
  <c r="I91" i="9"/>
  <c r="G91" i="9"/>
  <c r="E91" i="9"/>
  <c r="AC90" i="9"/>
  <c r="AA90" i="9"/>
  <c r="Y90" i="9"/>
  <c r="W90" i="9"/>
  <c r="U90" i="9"/>
  <c r="S90" i="9"/>
  <c r="Q90" i="9"/>
  <c r="O90" i="9"/>
  <c r="M90" i="9"/>
  <c r="K90" i="9"/>
  <c r="I90" i="9"/>
  <c r="G90" i="9"/>
  <c r="E90" i="9"/>
  <c r="AC89" i="9"/>
  <c r="AA89" i="9"/>
  <c r="Y89" i="9"/>
  <c r="W89" i="9"/>
  <c r="U89" i="9"/>
  <c r="S89" i="9"/>
  <c r="Q89" i="9"/>
  <c r="O89" i="9"/>
  <c r="M89" i="9"/>
  <c r="K89" i="9"/>
  <c r="I89" i="9"/>
  <c r="G89" i="9"/>
  <c r="E89" i="9"/>
  <c r="AC88" i="9"/>
  <c r="AA88" i="9"/>
  <c r="Y88" i="9"/>
  <c r="W88" i="9"/>
  <c r="U88" i="9"/>
  <c r="S88" i="9"/>
  <c r="Q88" i="9"/>
  <c r="O88" i="9"/>
  <c r="M88" i="9"/>
  <c r="K88" i="9"/>
  <c r="I88" i="9"/>
  <c r="G88" i="9"/>
  <c r="E88" i="9"/>
  <c r="AC87" i="9"/>
  <c r="AA87" i="9"/>
  <c r="Y87" i="9"/>
  <c r="W87" i="9"/>
  <c r="U87" i="9"/>
  <c r="S87" i="9"/>
  <c r="Q87" i="9"/>
  <c r="O87" i="9"/>
  <c r="M87" i="9"/>
  <c r="K87" i="9"/>
  <c r="I87" i="9"/>
  <c r="G87" i="9"/>
  <c r="E87" i="9"/>
  <c r="AC86" i="9"/>
  <c r="AA86" i="9"/>
  <c r="Y86" i="9"/>
  <c r="W86" i="9"/>
  <c r="U86" i="9"/>
  <c r="S86" i="9"/>
  <c r="Q86" i="9"/>
  <c r="O86" i="9"/>
  <c r="M86" i="9"/>
  <c r="K86" i="9"/>
  <c r="I86" i="9"/>
  <c r="G86" i="9"/>
  <c r="E86" i="9"/>
  <c r="AC85" i="9"/>
  <c r="AA85" i="9"/>
  <c r="Y85" i="9"/>
  <c r="W85" i="9"/>
  <c r="U85" i="9"/>
  <c r="S85" i="9"/>
  <c r="Q85" i="9"/>
  <c r="O85" i="9"/>
  <c r="M85" i="9"/>
  <c r="K85" i="9"/>
  <c r="I85" i="9"/>
  <c r="G85" i="9"/>
  <c r="E85" i="9"/>
  <c r="AC84" i="9"/>
  <c r="AA84" i="9"/>
  <c r="Y84" i="9"/>
  <c r="W84" i="9"/>
  <c r="U84" i="9"/>
  <c r="S84" i="9"/>
  <c r="Q84" i="9"/>
  <c r="O84" i="9"/>
  <c r="M84" i="9"/>
  <c r="K84" i="9"/>
  <c r="I84" i="9"/>
  <c r="G84" i="9"/>
  <c r="E84" i="9"/>
  <c r="AC83" i="9"/>
  <c r="AA83" i="9"/>
  <c r="Y83" i="9"/>
  <c r="W83" i="9"/>
  <c r="U83" i="9"/>
  <c r="S83" i="9"/>
  <c r="Q83" i="9"/>
  <c r="O83" i="9"/>
  <c r="M83" i="9"/>
  <c r="K83" i="9"/>
  <c r="I83" i="9"/>
  <c r="G83" i="9"/>
  <c r="E83" i="9"/>
  <c r="AC82" i="9"/>
  <c r="AA82" i="9"/>
  <c r="Y82" i="9"/>
  <c r="W82" i="9"/>
  <c r="U82" i="9"/>
  <c r="S82" i="9"/>
  <c r="Q82" i="9"/>
  <c r="O82" i="9"/>
  <c r="M82" i="9"/>
  <c r="K82" i="9"/>
  <c r="I82" i="9"/>
  <c r="G82" i="9"/>
  <c r="E82" i="9"/>
  <c r="AC81" i="9"/>
  <c r="AA81" i="9"/>
  <c r="Y81" i="9"/>
  <c r="W81" i="9"/>
  <c r="U81" i="9"/>
  <c r="S81" i="9"/>
  <c r="Q81" i="9"/>
  <c r="O81" i="9"/>
  <c r="M81" i="9"/>
  <c r="K81" i="9"/>
  <c r="I81" i="9"/>
  <c r="G81" i="9"/>
  <c r="E81" i="9"/>
  <c r="AC80" i="9"/>
  <c r="AA80" i="9"/>
  <c r="Y80" i="9"/>
  <c r="W80" i="9"/>
  <c r="U80" i="9"/>
  <c r="S80" i="9"/>
  <c r="Q80" i="9"/>
  <c r="O80" i="9"/>
  <c r="M80" i="9"/>
  <c r="K80" i="9"/>
  <c r="I80" i="9"/>
  <c r="G80" i="9"/>
  <c r="E80" i="9"/>
  <c r="AC79" i="9"/>
  <c r="AA79" i="9"/>
  <c r="Y79" i="9"/>
  <c r="W79" i="9"/>
  <c r="U79" i="9"/>
  <c r="S79" i="9"/>
  <c r="Q79" i="9"/>
  <c r="O79" i="9"/>
  <c r="M79" i="9"/>
  <c r="K79" i="9"/>
  <c r="I79" i="9"/>
  <c r="G79" i="9"/>
  <c r="E79" i="9"/>
  <c r="AC78" i="9"/>
  <c r="AA78" i="9"/>
  <c r="Y78" i="9"/>
  <c r="W78" i="9"/>
  <c r="U78" i="9"/>
  <c r="S78" i="9"/>
  <c r="Q78" i="9"/>
  <c r="O78" i="9"/>
  <c r="M78" i="9"/>
  <c r="K78" i="9"/>
  <c r="I78" i="9"/>
  <c r="G78" i="9"/>
  <c r="E78" i="9"/>
  <c r="AC77" i="9"/>
  <c r="AA77" i="9"/>
  <c r="Y77" i="9"/>
  <c r="W77" i="9"/>
  <c r="U77" i="9"/>
  <c r="S77" i="9"/>
  <c r="Q77" i="9"/>
  <c r="O77" i="9"/>
  <c r="M77" i="9"/>
  <c r="K77" i="9"/>
  <c r="I77" i="9"/>
  <c r="G77" i="9"/>
  <c r="E77" i="9"/>
  <c r="AC76" i="9"/>
  <c r="AA76" i="9"/>
  <c r="Y76" i="9"/>
  <c r="W76" i="9"/>
  <c r="U76" i="9"/>
  <c r="S76" i="9"/>
  <c r="Q76" i="9"/>
  <c r="O76" i="9"/>
  <c r="M76" i="9"/>
  <c r="K76" i="9"/>
  <c r="I76" i="9"/>
  <c r="G76" i="9"/>
  <c r="E76" i="9"/>
  <c r="AC75" i="9"/>
  <c r="AA75" i="9"/>
  <c r="Y75" i="9"/>
  <c r="W75" i="9"/>
  <c r="U75" i="9"/>
  <c r="S75" i="9"/>
  <c r="Q75" i="9"/>
  <c r="O75" i="9"/>
  <c r="M75" i="9"/>
  <c r="K75" i="9"/>
  <c r="I75" i="9"/>
  <c r="G75" i="9"/>
  <c r="E75" i="9"/>
  <c r="AC74" i="9"/>
  <c r="AA74" i="9"/>
  <c r="Y74" i="9"/>
  <c r="W74" i="9"/>
  <c r="U74" i="9"/>
  <c r="S74" i="9"/>
  <c r="Q74" i="9"/>
  <c r="O74" i="9"/>
  <c r="M74" i="9"/>
  <c r="K74" i="9"/>
  <c r="I74" i="9"/>
  <c r="G74" i="9"/>
  <c r="E74" i="9"/>
  <c r="AC73" i="9"/>
  <c r="AA73" i="9"/>
  <c r="Y73" i="9"/>
  <c r="W73" i="9"/>
  <c r="U73" i="9"/>
  <c r="S73" i="9"/>
  <c r="Q73" i="9"/>
  <c r="O73" i="9"/>
  <c r="M73" i="9"/>
  <c r="K73" i="9"/>
  <c r="I73" i="9"/>
  <c r="G73" i="9"/>
  <c r="E73" i="9"/>
  <c r="AC72" i="9"/>
  <c r="AA72" i="9"/>
  <c r="Y72" i="9"/>
  <c r="W72" i="9"/>
  <c r="U72" i="9"/>
  <c r="S72" i="9"/>
  <c r="Q72" i="9"/>
  <c r="O72" i="9"/>
  <c r="M72" i="9"/>
  <c r="K72" i="9"/>
  <c r="I72" i="9"/>
  <c r="G72" i="9"/>
  <c r="E72" i="9"/>
  <c r="AC71" i="9"/>
  <c r="AA71" i="9"/>
  <c r="Y71" i="9"/>
  <c r="W71" i="9"/>
  <c r="U71" i="9"/>
  <c r="S71" i="9"/>
  <c r="Q71" i="9"/>
  <c r="O71" i="9"/>
  <c r="M71" i="9"/>
  <c r="K71" i="9"/>
  <c r="I71" i="9"/>
  <c r="G71" i="9"/>
  <c r="E71" i="9"/>
  <c r="AC70" i="9"/>
  <c r="AA70" i="9"/>
  <c r="Y70" i="9"/>
  <c r="W70" i="9"/>
  <c r="U70" i="9"/>
  <c r="S70" i="9"/>
  <c r="Q70" i="9"/>
  <c r="O70" i="9"/>
  <c r="M70" i="9"/>
  <c r="K70" i="9"/>
  <c r="I70" i="9"/>
  <c r="G70" i="9"/>
  <c r="E70" i="9"/>
  <c r="AC69" i="9"/>
  <c r="AA69" i="9"/>
  <c r="Y69" i="9"/>
  <c r="W69" i="9"/>
  <c r="U69" i="9"/>
  <c r="S69" i="9"/>
  <c r="Q69" i="9"/>
  <c r="O69" i="9"/>
  <c r="M69" i="9"/>
  <c r="K69" i="9"/>
  <c r="I69" i="9"/>
  <c r="G69" i="9"/>
  <c r="E69" i="9"/>
  <c r="AC68" i="9"/>
  <c r="AA68" i="9"/>
  <c r="Y68" i="9"/>
  <c r="W68" i="9"/>
  <c r="U68" i="9"/>
  <c r="S68" i="9"/>
  <c r="Q68" i="9"/>
  <c r="O68" i="9"/>
  <c r="M68" i="9"/>
  <c r="K68" i="9"/>
  <c r="I68" i="9"/>
  <c r="G68" i="9"/>
  <c r="E68" i="9"/>
  <c r="AC67" i="9"/>
  <c r="AA67" i="9"/>
  <c r="Y67" i="9"/>
  <c r="W67" i="9"/>
  <c r="U67" i="9"/>
  <c r="S67" i="9"/>
  <c r="Q67" i="9"/>
  <c r="O67" i="9"/>
  <c r="M67" i="9"/>
  <c r="K67" i="9"/>
  <c r="I67" i="9"/>
  <c r="G67" i="9"/>
  <c r="E67" i="9"/>
  <c r="AC66" i="9"/>
  <c r="AA66" i="9"/>
  <c r="Y66" i="9"/>
  <c r="W66" i="9"/>
  <c r="U66" i="9"/>
  <c r="S66" i="9"/>
  <c r="Q66" i="9"/>
  <c r="O66" i="9"/>
  <c r="M66" i="9"/>
  <c r="K66" i="9"/>
  <c r="I66" i="9"/>
  <c r="G66" i="9"/>
  <c r="E66" i="9"/>
  <c r="AC65" i="9"/>
  <c r="AA65" i="9"/>
  <c r="Y65" i="9"/>
  <c r="W65" i="9"/>
  <c r="U65" i="9"/>
  <c r="S65" i="9"/>
  <c r="Q65" i="9"/>
  <c r="O65" i="9"/>
  <c r="M65" i="9"/>
  <c r="K65" i="9"/>
  <c r="I65" i="9"/>
  <c r="G65" i="9"/>
  <c r="E65" i="9"/>
  <c r="AC64" i="9"/>
  <c r="AA64" i="9"/>
  <c r="Y64" i="9"/>
  <c r="W64" i="9"/>
  <c r="U64" i="9"/>
  <c r="S64" i="9"/>
  <c r="Q64" i="9"/>
  <c r="O64" i="9"/>
  <c r="M64" i="9"/>
  <c r="K64" i="9"/>
  <c r="I64" i="9"/>
  <c r="G64" i="9"/>
  <c r="E64" i="9"/>
  <c r="AC63" i="9"/>
  <c r="AA63" i="9"/>
  <c r="Y63" i="9"/>
  <c r="W63" i="9"/>
  <c r="U63" i="9"/>
  <c r="S63" i="9"/>
  <c r="Q63" i="9"/>
  <c r="O63" i="9"/>
  <c r="M63" i="9"/>
  <c r="K63" i="9"/>
  <c r="I63" i="9"/>
  <c r="G63" i="9"/>
  <c r="E63" i="9"/>
  <c r="AC62" i="9"/>
  <c r="AA62" i="9"/>
  <c r="Y62" i="9"/>
  <c r="W62" i="9"/>
  <c r="U62" i="9"/>
  <c r="S62" i="9"/>
  <c r="Q62" i="9"/>
  <c r="O62" i="9"/>
  <c r="M62" i="9"/>
  <c r="K62" i="9"/>
  <c r="I62" i="9"/>
  <c r="G62" i="9"/>
  <c r="E62" i="9"/>
  <c r="AC61" i="9"/>
  <c r="AA61" i="9"/>
  <c r="Y61" i="9"/>
  <c r="W61" i="9"/>
  <c r="U61" i="9"/>
  <c r="S61" i="9"/>
  <c r="Q61" i="9"/>
  <c r="O61" i="9"/>
  <c r="M61" i="9"/>
  <c r="K61" i="9"/>
  <c r="I61" i="9"/>
  <c r="G61" i="9"/>
  <c r="E61" i="9"/>
  <c r="AC60" i="9"/>
  <c r="AA60" i="9"/>
  <c r="Y60" i="9"/>
  <c r="W60" i="9"/>
  <c r="U60" i="9"/>
  <c r="S60" i="9"/>
  <c r="Q60" i="9"/>
  <c r="O60" i="9"/>
  <c r="M60" i="9"/>
  <c r="K60" i="9"/>
  <c r="I60" i="9"/>
  <c r="G60" i="9"/>
  <c r="E60" i="9"/>
  <c r="AC59" i="9"/>
  <c r="AA59" i="9"/>
  <c r="Y59" i="9"/>
  <c r="W59" i="9"/>
  <c r="U59" i="9"/>
  <c r="S59" i="9"/>
  <c r="Q59" i="9"/>
  <c r="O59" i="9"/>
  <c r="M59" i="9"/>
  <c r="K59" i="9"/>
  <c r="I59" i="9"/>
  <c r="G59" i="9"/>
  <c r="E59" i="9"/>
  <c r="AC58" i="9"/>
  <c r="AA58" i="9"/>
  <c r="Y58" i="9"/>
  <c r="W58" i="9"/>
  <c r="U58" i="9"/>
  <c r="S58" i="9"/>
  <c r="Q58" i="9"/>
  <c r="O58" i="9"/>
  <c r="M58" i="9"/>
  <c r="K58" i="9"/>
  <c r="I58" i="9"/>
  <c r="G58" i="9"/>
  <c r="E58" i="9"/>
  <c r="AC57" i="9"/>
  <c r="AA57" i="9"/>
  <c r="Y57" i="9"/>
  <c r="W57" i="9"/>
  <c r="U57" i="9"/>
  <c r="S57" i="9"/>
  <c r="Q57" i="9"/>
  <c r="O57" i="9"/>
  <c r="M57" i="9"/>
  <c r="K57" i="9"/>
  <c r="I57" i="9"/>
  <c r="G57" i="9"/>
  <c r="E57" i="9"/>
  <c r="AC56" i="9"/>
  <c r="AA56" i="9"/>
  <c r="Y56" i="9"/>
  <c r="W56" i="9"/>
  <c r="U56" i="9"/>
  <c r="S56" i="9"/>
  <c r="Q56" i="9"/>
  <c r="O56" i="9"/>
  <c r="M56" i="9"/>
  <c r="K56" i="9"/>
  <c r="I56" i="9"/>
  <c r="G56" i="9"/>
  <c r="E56" i="9"/>
  <c r="AC55" i="9"/>
  <c r="AA55" i="9"/>
  <c r="Y55" i="9"/>
  <c r="W55" i="9"/>
  <c r="U55" i="9"/>
  <c r="S55" i="9"/>
  <c r="Q55" i="9"/>
  <c r="O55" i="9"/>
  <c r="M55" i="9"/>
  <c r="K55" i="9"/>
  <c r="I55" i="9"/>
  <c r="G55" i="9"/>
  <c r="E55" i="9"/>
  <c r="AC54" i="9"/>
  <c r="AA54" i="9"/>
  <c r="Y54" i="9"/>
  <c r="W54" i="9"/>
  <c r="U54" i="9"/>
  <c r="S54" i="9"/>
  <c r="Q54" i="9"/>
  <c r="O54" i="9"/>
  <c r="M54" i="9"/>
  <c r="K54" i="9"/>
  <c r="I54" i="9"/>
  <c r="G54" i="9"/>
  <c r="E54" i="9"/>
  <c r="AC53" i="9"/>
  <c r="AA53" i="9"/>
  <c r="Y53" i="9"/>
  <c r="W53" i="9"/>
  <c r="U53" i="9"/>
  <c r="S53" i="9"/>
  <c r="Q53" i="9"/>
  <c r="O53" i="9"/>
  <c r="M53" i="9"/>
  <c r="K53" i="9"/>
  <c r="I53" i="9"/>
  <c r="G53" i="9"/>
  <c r="E53" i="9"/>
  <c r="AC52" i="9"/>
  <c r="AA52" i="9"/>
  <c r="Y52" i="9"/>
  <c r="W52" i="9"/>
  <c r="U52" i="9"/>
  <c r="S52" i="9"/>
  <c r="Q52" i="9"/>
  <c r="O52" i="9"/>
  <c r="M52" i="9"/>
  <c r="K52" i="9"/>
  <c r="I52" i="9"/>
  <c r="G52" i="9"/>
  <c r="E52" i="9"/>
  <c r="AC51" i="9"/>
  <c r="AA51" i="9"/>
  <c r="Y51" i="9"/>
  <c r="W51" i="9"/>
  <c r="U51" i="9"/>
  <c r="S51" i="9"/>
  <c r="Q51" i="9"/>
  <c r="O51" i="9"/>
  <c r="M51" i="9"/>
  <c r="K51" i="9"/>
  <c r="I51" i="9"/>
  <c r="G51" i="9"/>
  <c r="E51" i="9"/>
  <c r="AC50" i="9"/>
  <c r="AA50" i="9"/>
  <c r="Y50" i="9"/>
  <c r="W50" i="9"/>
  <c r="U50" i="9"/>
  <c r="S50" i="9"/>
  <c r="Q50" i="9"/>
  <c r="O50" i="9"/>
  <c r="M50" i="9"/>
  <c r="K50" i="9"/>
  <c r="I50" i="9"/>
  <c r="G50" i="9"/>
  <c r="E50" i="9"/>
  <c r="AC49" i="9"/>
  <c r="AA49" i="9"/>
  <c r="Y49" i="9"/>
  <c r="W49" i="9"/>
  <c r="U49" i="9"/>
  <c r="S49" i="9"/>
  <c r="Q49" i="9"/>
  <c r="O49" i="9"/>
  <c r="M49" i="9"/>
  <c r="K49" i="9"/>
  <c r="I49" i="9"/>
  <c r="G49" i="9"/>
  <c r="E49" i="9"/>
  <c r="AC48" i="9"/>
  <c r="AA48" i="9"/>
  <c r="Y48" i="9"/>
  <c r="W48" i="9"/>
  <c r="U48" i="9"/>
  <c r="S48" i="9"/>
  <c r="Q48" i="9"/>
  <c r="O48" i="9"/>
  <c r="M48" i="9"/>
  <c r="K48" i="9"/>
  <c r="I48" i="9"/>
  <c r="G48" i="9"/>
  <c r="E48" i="9"/>
  <c r="AC47" i="9"/>
  <c r="AA47" i="9"/>
  <c r="Y47" i="9"/>
  <c r="W47" i="9"/>
  <c r="U47" i="9"/>
  <c r="S47" i="9"/>
  <c r="Q47" i="9"/>
  <c r="O47" i="9"/>
  <c r="M47" i="9"/>
  <c r="K47" i="9"/>
  <c r="I47" i="9"/>
  <c r="G47" i="9"/>
  <c r="E47" i="9"/>
  <c r="AC46" i="9"/>
  <c r="AA46" i="9"/>
  <c r="Y46" i="9"/>
  <c r="W46" i="9"/>
  <c r="U46" i="9"/>
  <c r="S46" i="9"/>
  <c r="Q46" i="9"/>
  <c r="O46" i="9"/>
  <c r="M46" i="9"/>
  <c r="K46" i="9"/>
  <c r="I46" i="9"/>
  <c r="G46" i="9"/>
  <c r="E46" i="9"/>
  <c r="AC45" i="9"/>
  <c r="AA45" i="9"/>
  <c r="Y45" i="9"/>
  <c r="W45" i="9"/>
  <c r="U45" i="9"/>
  <c r="S45" i="9"/>
  <c r="Q45" i="9"/>
  <c r="O45" i="9"/>
  <c r="M45" i="9"/>
  <c r="K45" i="9"/>
  <c r="I45" i="9"/>
  <c r="G45" i="9"/>
  <c r="E45" i="9"/>
  <c r="AC44" i="9"/>
  <c r="AA44" i="9"/>
  <c r="Y44" i="9"/>
  <c r="W44" i="9"/>
  <c r="U44" i="9"/>
  <c r="S44" i="9"/>
  <c r="Q44" i="9"/>
  <c r="O44" i="9"/>
  <c r="M44" i="9"/>
  <c r="K44" i="9"/>
  <c r="I44" i="9"/>
  <c r="G44" i="9"/>
  <c r="E44" i="9"/>
  <c r="AC43" i="9"/>
  <c r="AA43" i="9"/>
  <c r="Y43" i="9"/>
  <c r="W43" i="9"/>
  <c r="U43" i="9"/>
  <c r="S43" i="9"/>
  <c r="Q43" i="9"/>
  <c r="O43" i="9"/>
  <c r="M43" i="9"/>
  <c r="K43" i="9"/>
  <c r="I43" i="9"/>
  <c r="G43" i="9"/>
  <c r="E43" i="9"/>
  <c r="AC42" i="9"/>
  <c r="AA42" i="9"/>
  <c r="Y42" i="9"/>
  <c r="W42" i="9"/>
  <c r="U42" i="9"/>
  <c r="S42" i="9"/>
  <c r="Q42" i="9"/>
  <c r="O42" i="9"/>
  <c r="M42" i="9"/>
  <c r="K42" i="9"/>
  <c r="I42" i="9"/>
  <c r="G42" i="9"/>
  <c r="E42" i="9"/>
  <c r="AC41" i="9"/>
  <c r="AA41" i="9"/>
  <c r="Y41" i="9"/>
  <c r="W41" i="9"/>
  <c r="U41" i="9"/>
  <c r="S41" i="9"/>
  <c r="Q41" i="9"/>
  <c r="O41" i="9"/>
  <c r="M41" i="9"/>
  <c r="K41" i="9"/>
  <c r="I41" i="9"/>
  <c r="G41" i="9"/>
  <c r="E41" i="9"/>
  <c r="AC40" i="9"/>
  <c r="AA40" i="9"/>
  <c r="Y40" i="9"/>
  <c r="W40" i="9"/>
  <c r="U40" i="9"/>
  <c r="S40" i="9"/>
  <c r="Q40" i="9"/>
  <c r="O40" i="9"/>
  <c r="M40" i="9"/>
  <c r="K40" i="9"/>
  <c r="I40" i="9"/>
  <c r="G40" i="9"/>
  <c r="E40" i="9"/>
  <c r="AC39" i="9"/>
  <c r="AA39" i="9"/>
  <c r="Y39" i="9"/>
  <c r="W39" i="9"/>
  <c r="U39" i="9"/>
  <c r="S39" i="9"/>
  <c r="Q39" i="9"/>
  <c r="O39" i="9"/>
  <c r="M39" i="9"/>
  <c r="K39" i="9"/>
  <c r="I39" i="9"/>
  <c r="G39" i="9"/>
  <c r="E39" i="9"/>
  <c r="AC38" i="9"/>
  <c r="AA38" i="9"/>
  <c r="Y38" i="9"/>
  <c r="W38" i="9"/>
  <c r="U38" i="9"/>
  <c r="S38" i="9"/>
  <c r="Q38" i="9"/>
  <c r="O38" i="9"/>
  <c r="M38" i="9"/>
  <c r="K38" i="9"/>
  <c r="I38" i="9"/>
  <c r="G38" i="9"/>
  <c r="E38" i="9"/>
  <c r="AC37" i="9"/>
  <c r="AA37" i="9"/>
  <c r="Y37" i="9"/>
  <c r="W37" i="9"/>
  <c r="U37" i="9"/>
  <c r="S37" i="9"/>
  <c r="Q37" i="9"/>
  <c r="O37" i="9"/>
  <c r="M37" i="9"/>
  <c r="K37" i="9"/>
  <c r="I37" i="9"/>
  <c r="G37" i="9"/>
  <c r="E37" i="9"/>
  <c r="AC36" i="9"/>
  <c r="AA36" i="9"/>
  <c r="Y36" i="9"/>
  <c r="W36" i="9"/>
  <c r="U36" i="9"/>
  <c r="S36" i="9"/>
  <c r="Q36" i="9"/>
  <c r="O36" i="9"/>
  <c r="M36" i="9"/>
  <c r="K36" i="9"/>
  <c r="I36" i="9"/>
  <c r="G36" i="9"/>
  <c r="E36" i="9"/>
  <c r="AC35" i="9"/>
  <c r="AA35" i="9"/>
  <c r="Y35" i="9"/>
  <c r="W35" i="9"/>
  <c r="U35" i="9"/>
  <c r="S35" i="9"/>
  <c r="Q35" i="9"/>
  <c r="O35" i="9"/>
  <c r="M35" i="9"/>
  <c r="K35" i="9"/>
  <c r="I35" i="9"/>
  <c r="G35" i="9"/>
  <c r="E35" i="9"/>
  <c r="AC34" i="9"/>
  <c r="AA34" i="9"/>
  <c r="Y34" i="9"/>
  <c r="W34" i="9"/>
  <c r="U34" i="9"/>
  <c r="S34" i="9"/>
  <c r="Q34" i="9"/>
  <c r="O34" i="9"/>
  <c r="M34" i="9"/>
  <c r="K34" i="9"/>
  <c r="I34" i="9"/>
  <c r="G34" i="9"/>
  <c r="E34" i="9"/>
  <c r="AC33" i="9"/>
  <c r="AA33" i="9"/>
  <c r="Y33" i="9"/>
  <c r="W33" i="9"/>
  <c r="U33" i="9"/>
  <c r="S33" i="9"/>
  <c r="Q33" i="9"/>
  <c r="O33" i="9"/>
  <c r="M33" i="9"/>
  <c r="K33" i="9"/>
  <c r="I33" i="9"/>
  <c r="G33" i="9"/>
  <c r="E33" i="9"/>
  <c r="AC32" i="9"/>
  <c r="AA32" i="9"/>
  <c r="Y32" i="9"/>
  <c r="W32" i="9"/>
  <c r="U32" i="9"/>
  <c r="S32" i="9"/>
  <c r="Q32" i="9"/>
  <c r="O32" i="9"/>
  <c r="M32" i="9"/>
  <c r="K32" i="9"/>
  <c r="I32" i="9"/>
  <c r="G32" i="9"/>
  <c r="E32" i="9"/>
  <c r="AC31" i="9"/>
  <c r="AA31" i="9"/>
  <c r="Y31" i="9"/>
  <c r="W31" i="9"/>
  <c r="U31" i="9"/>
  <c r="S31" i="9"/>
  <c r="Q31" i="9"/>
  <c r="O31" i="9"/>
  <c r="M31" i="9"/>
  <c r="K31" i="9"/>
  <c r="I31" i="9"/>
  <c r="G31" i="9"/>
  <c r="E31" i="9"/>
  <c r="AC30" i="9"/>
  <c r="AA30" i="9"/>
  <c r="Y30" i="9"/>
  <c r="W30" i="9"/>
  <c r="U30" i="9"/>
  <c r="S30" i="9"/>
  <c r="Q30" i="9"/>
  <c r="O30" i="9"/>
  <c r="M30" i="9"/>
  <c r="K30" i="9"/>
  <c r="I30" i="9"/>
  <c r="G30" i="9"/>
  <c r="E30" i="9"/>
  <c r="AC29" i="9"/>
  <c r="AA29" i="9"/>
  <c r="Y29" i="9"/>
  <c r="W29" i="9"/>
  <c r="U29" i="9"/>
  <c r="S29" i="9"/>
  <c r="Q29" i="9"/>
  <c r="O29" i="9"/>
  <c r="M29" i="9"/>
  <c r="K29" i="9"/>
  <c r="I29" i="9"/>
  <c r="G29" i="9"/>
  <c r="E29" i="9"/>
  <c r="AC28" i="9"/>
  <c r="AA28" i="9"/>
  <c r="Y28" i="9"/>
  <c r="W28" i="9"/>
  <c r="U28" i="9"/>
  <c r="S28" i="9"/>
  <c r="Q28" i="9"/>
  <c r="O28" i="9"/>
  <c r="M28" i="9"/>
  <c r="K28" i="9"/>
  <c r="I28" i="9"/>
  <c r="G28" i="9"/>
  <c r="E28" i="9"/>
  <c r="AC27" i="9"/>
  <c r="AA27" i="9"/>
  <c r="Y27" i="9"/>
  <c r="W27" i="9"/>
  <c r="U27" i="9"/>
  <c r="S27" i="9"/>
  <c r="Q27" i="9"/>
  <c r="O27" i="9"/>
  <c r="M27" i="9"/>
  <c r="K27" i="9"/>
  <c r="I27" i="9"/>
  <c r="G27" i="9"/>
  <c r="E27" i="9"/>
  <c r="AC26" i="9"/>
  <c r="AA26" i="9"/>
  <c r="Y26" i="9"/>
  <c r="W26" i="9"/>
  <c r="U26" i="9"/>
  <c r="S26" i="9"/>
  <c r="Q26" i="9"/>
  <c r="O26" i="9"/>
  <c r="M26" i="9"/>
  <c r="K26" i="9"/>
  <c r="I26" i="9"/>
  <c r="G26" i="9"/>
  <c r="E26" i="9"/>
  <c r="AC25" i="9"/>
  <c r="AA25" i="9"/>
  <c r="Y25" i="9"/>
  <c r="W25" i="9"/>
  <c r="U25" i="9"/>
  <c r="S25" i="9"/>
  <c r="Q25" i="9"/>
  <c r="O25" i="9"/>
  <c r="M25" i="9"/>
  <c r="K25" i="9"/>
  <c r="I25" i="9"/>
  <c r="G25" i="9"/>
  <c r="E25" i="9"/>
  <c r="AC24" i="9"/>
  <c r="AA24" i="9"/>
  <c r="Y24" i="9"/>
  <c r="W24" i="9"/>
  <c r="U24" i="9"/>
  <c r="S24" i="9"/>
  <c r="Q24" i="9"/>
  <c r="O24" i="9"/>
  <c r="M24" i="9"/>
  <c r="K24" i="9"/>
  <c r="I24" i="9"/>
  <c r="G24" i="9"/>
  <c r="E24" i="9"/>
  <c r="AC23" i="9"/>
  <c r="AA23" i="9"/>
  <c r="Y23" i="9"/>
  <c r="W23" i="9"/>
  <c r="U23" i="9"/>
  <c r="S23" i="9"/>
  <c r="Q23" i="9"/>
  <c r="O23" i="9"/>
  <c r="M23" i="9"/>
  <c r="K23" i="9"/>
  <c r="I23" i="9"/>
  <c r="G23" i="9"/>
  <c r="E23" i="9"/>
  <c r="AC22" i="9"/>
  <c r="AA22" i="9"/>
  <c r="Y22" i="9"/>
  <c r="W22" i="9"/>
  <c r="U22" i="9"/>
  <c r="S22" i="9"/>
  <c r="Q22" i="9"/>
  <c r="O22" i="9"/>
  <c r="M22" i="9"/>
  <c r="K22" i="9"/>
  <c r="I22" i="9"/>
  <c r="G22" i="9"/>
  <c r="E22" i="9"/>
  <c r="AC21" i="9"/>
  <c r="AA21" i="9"/>
  <c r="Y21" i="9"/>
  <c r="W21" i="9"/>
  <c r="U21" i="9"/>
  <c r="S21" i="9"/>
  <c r="Q21" i="9"/>
  <c r="O21" i="9"/>
  <c r="M21" i="9"/>
  <c r="K21" i="9"/>
  <c r="I21" i="9"/>
  <c r="G21" i="9"/>
  <c r="E21" i="9"/>
  <c r="AC20" i="9"/>
  <c r="AA20" i="9"/>
  <c r="Y20" i="9"/>
  <c r="W20" i="9"/>
  <c r="U20" i="9"/>
  <c r="S20" i="9"/>
  <c r="Q20" i="9"/>
  <c r="O20" i="9"/>
  <c r="M20" i="9"/>
  <c r="K20" i="9"/>
  <c r="I20" i="9"/>
  <c r="G20" i="9"/>
  <c r="E20" i="9"/>
  <c r="AC19" i="9"/>
  <c r="AA19" i="9"/>
  <c r="Y19" i="9"/>
  <c r="W19" i="9"/>
  <c r="U19" i="9"/>
  <c r="S19" i="9"/>
  <c r="Q19" i="9"/>
  <c r="O19" i="9"/>
  <c r="M19" i="9"/>
  <c r="K19" i="9"/>
  <c r="I19" i="9"/>
  <c r="G19" i="9"/>
  <c r="E19" i="9"/>
  <c r="AC18" i="9"/>
  <c r="AA18" i="9"/>
  <c r="Y18" i="9"/>
  <c r="W18" i="9"/>
  <c r="U18" i="9"/>
  <c r="S18" i="9"/>
  <c r="Q18" i="9"/>
  <c r="O18" i="9"/>
  <c r="M18" i="9"/>
  <c r="K18" i="9"/>
  <c r="I18" i="9"/>
  <c r="G18" i="9"/>
  <c r="E18" i="9"/>
  <c r="AC17" i="9"/>
  <c r="AA17" i="9"/>
  <c r="Y17" i="9"/>
  <c r="W17" i="9"/>
  <c r="U17" i="9"/>
  <c r="S17" i="9"/>
  <c r="Q17" i="9"/>
  <c r="O17" i="9"/>
  <c r="M17" i="9"/>
  <c r="K17" i="9"/>
  <c r="I17" i="9"/>
  <c r="G17" i="9"/>
  <c r="E17" i="9"/>
  <c r="AC16" i="9"/>
  <c r="AA16" i="9"/>
  <c r="Y16" i="9"/>
  <c r="W16" i="9"/>
  <c r="U16" i="9"/>
  <c r="S16" i="9"/>
  <c r="Q16" i="9"/>
  <c r="O16" i="9"/>
  <c r="M16" i="9"/>
  <c r="K16" i="9"/>
  <c r="I16" i="9"/>
  <c r="G16" i="9"/>
  <c r="E16" i="9"/>
  <c r="AC15" i="9"/>
  <c r="AA15" i="9"/>
  <c r="Y15" i="9"/>
  <c r="W15" i="9"/>
  <c r="U15" i="9"/>
  <c r="S15" i="9"/>
  <c r="Q15" i="9"/>
  <c r="O15" i="9"/>
  <c r="M15" i="9"/>
  <c r="K15" i="9"/>
  <c r="I15" i="9"/>
  <c r="G15" i="9"/>
  <c r="E15" i="9"/>
  <c r="AC14" i="9"/>
  <c r="AA14" i="9"/>
  <c r="Y14" i="9"/>
  <c r="W14" i="9"/>
  <c r="U14" i="9"/>
  <c r="S14" i="9"/>
  <c r="Q14" i="9"/>
  <c r="O14" i="9"/>
  <c r="M14" i="9"/>
  <c r="K14" i="9"/>
  <c r="I14" i="9"/>
  <c r="G14" i="9"/>
  <c r="E14" i="9"/>
  <c r="AC13" i="9"/>
  <c r="AA13" i="9"/>
  <c r="Y13" i="9"/>
  <c r="W13" i="9"/>
  <c r="U13" i="9"/>
  <c r="S13" i="9"/>
  <c r="Q13" i="9"/>
  <c r="O13" i="9"/>
  <c r="M13" i="9"/>
  <c r="K13" i="9"/>
  <c r="I13" i="9"/>
  <c r="G13" i="9"/>
  <c r="E13" i="9"/>
  <c r="AC12" i="9"/>
  <c r="AA12" i="9"/>
  <c r="Y12" i="9"/>
  <c r="W12" i="9"/>
  <c r="U12" i="9"/>
  <c r="S12" i="9"/>
  <c r="Q12" i="9"/>
  <c r="O12" i="9"/>
  <c r="M12" i="9"/>
  <c r="K12" i="9"/>
  <c r="I12" i="9"/>
  <c r="G12" i="9"/>
  <c r="E12" i="9"/>
  <c r="AC11" i="9"/>
  <c r="AA11" i="9"/>
  <c r="Y11" i="9"/>
  <c r="W11" i="9"/>
  <c r="U11" i="9"/>
  <c r="S11" i="9"/>
  <c r="Q11" i="9"/>
  <c r="O11" i="9"/>
  <c r="M11" i="9"/>
  <c r="K11" i="9"/>
  <c r="I11" i="9"/>
  <c r="G11" i="9"/>
  <c r="E11" i="9"/>
  <c r="AC10" i="9"/>
  <c r="AA10" i="9"/>
  <c r="Y10" i="9"/>
  <c r="W10" i="9"/>
  <c r="U10" i="9"/>
  <c r="S10" i="9"/>
  <c r="Q10" i="9"/>
  <c r="O10" i="9"/>
  <c r="M10" i="9"/>
  <c r="K10" i="9"/>
  <c r="I10" i="9"/>
  <c r="G10" i="9"/>
  <c r="E10" i="9"/>
  <c r="AC9" i="9"/>
  <c r="AA9" i="9"/>
  <c r="Y9" i="9"/>
  <c r="W9" i="9"/>
  <c r="U9" i="9"/>
  <c r="S9" i="9"/>
  <c r="Q9" i="9"/>
  <c r="O9" i="9"/>
  <c r="M9" i="9"/>
  <c r="K9" i="9"/>
  <c r="I9" i="9"/>
  <c r="G9" i="9"/>
  <c r="E9" i="9"/>
  <c r="AC8" i="9"/>
  <c r="AA8" i="9"/>
  <c r="Y8" i="9"/>
  <c r="W8" i="9"/>
  <c r="U8" i="9"/>
  <c r="S8" i="9"/>
  <c r="Q8" i="9"/>
  <c r="O8" i="9"/>
  <c r="M8" i="9"/>
  <c r="K8" i="9"/>
  <c r="I8" i="9"/>
  <c r="G8" i="9"/>
  <c r="E8" i="9"/>
  <c r="AC7" i="9"/>
  <c r="AA7" i="9"/>
  <c r="Y7" i="9"/>
  <c r="W7" i="9"/>
  <c r="U7" i="9"/>
  <c r="S7" i="9"/>
  <c r="Q7" i="9"/>
  <c r="O7" i="9"/>
  <c r="M7" i="9"/>
  <c r="K7" i="9"/>
  <c r="I7" i="9"/>
  <c r="G7" i="9"/>
  <c r="E7" i="9"/>
  <c r="AC6" i="9"/>
  <c r="AA6" i="9"/>
  <c r="Y6" i="9"/>
  <c r="W6" i="9"/>
  <c r="U6" i="9"/>
  <c r="S6" i="9"/>
  <c r="Q6" i="9"/>
  <c r="O6" i="9"/>
  <c r="M6" i="9"/>
  <c r="K6" i="9"/>
  <c r="I6" i="9"/>
  <c r="G6" i="9"/>
  <c r="E6" i="9"/>
  <c r="AC5" i="9"/>
  <c r="AA5" i="9"/>
  <c r="Y5" i="9"/>
  <c r="W5" i="9"/>
  <c r="U5" i="9"/>
  <c r="S5" i="9"/>
  <c r="Q5" i="9"/>
  <c r="O5" i="9"/>
  <c r="M5" i="9"/>
  <c r="K5" i="9"/>
  <c r="I5" i="9"/>
  <c r="G5" i="9"/>
  <c r="E5" i="9"/>
  <c r="AC4" i="9"/>
  <c r="AA4" i="9"/>
  <c r="Y4" i="9"/>
  <c r="W4" i="9"/>
  <c r="U4" i="9"/>
  <c r="S4" i="9"/>
  <c r="Q4" i="9"/>
  <c r="O4" i="9"/>
  <c r="M4" i="9"/>
  <c r="K4" i="9"/>
  <c r="I4" i="9"/>
  <c r="G4" i="9"/>
  <c r="E4" i="9"/>
  <c r="AC3" i="9"/>
  <c r="AA3" i="9"/>
  <c r="Y3" i="9"/>
  <c r="W3" i="9"/>
  <c r="U3" i="9"/>
  <c r="S3" i="9"/>
  <c r="Q3" i="9"/>
  <c r="O3" i="9"/>
  <c r="M3" i="9"/>
  <c r="K3" i="9"/>
  <c r="I3" i="9"/>
  <c r="G3" i="9"/>
  <c r="E3" i="9"/>
  <c r="AC2" i="9"/>
  <c r="AA2" i="9"/>
  <c r="Y2" i="9"/>
  <c r="W2" i="9"/>
  <c r="U2" i="9"/>
  <c r="S2" i="9"/>
  <c r="Q2" i="9"/>
  <c r="O2" i="9"/>
  <c r="M2" i="9"/>
  <c r="K2" i="9"/>
  <c r="I2" i="9"/>
  <c r="G2" i="9"/>
  <c r="E2" i="9"/>
  <c r="O228" i="9" l="1"/>
  <c r="O233" i="9" s="1"/>
  <c r="M24" i="7" s="1"/>
  <c r="N24" i="7" s="1"/>
  <c r="I228" i="9"/>
  <c r="M21" i="7" s="1"/>
  <c r="N21" i="7" s="1"/>
  <c r="Y228" i="9"/>
  <c r="Y232" i="9" s="1"/>
  <c r="M12" i="7" s="1"/>
  <c r="N12" i="7" s="1"/>
  <c r="G228" i="9"/>
  <c r="M20" i="7" s="1"/>
  <c r="N20" i="7" s="1"/>
  <c r="W228" i="9"/>
  <c r="W233" i="9" s="1"/>
  <c r="M28" i="7" s="1"/>
  <c r="N28" i="7" s="1"/>
  <c r="E228" i="9"/>
  <c r="M2" i="7" s="1"/>
  <c r="N32" i="7"/>
  <c r="N15" i="7"/>
  <c r="Q228" i="9"/>
  <c r="Q232" i="9" s="1"/>
  <c r="M8" i="7" s="1"/>
  <c r="N8" i="7" s="1"/>
  <c r="M228" i="9"/>
  <c r="AC228" i="9"/>
  <c r="AC232" i="9" s="1"/>
  <c r="M14" i="7" s="1"/>
  <c r="N14" i="7" s="1"/>
  <c r="AA228" i="9"/>
  <c r="U228" i="9"/>
  <c r="S228" i="9"/>
  <c r="K228" i="9"/>
  <c r="O232" i="9" l="1"/>
  <c r="M7" i="7" s="1"/>
  <c r="N7" i="7" s="1"/>
  <c r="M4" i="7"/>
  <c r="N4" i="7" s="1"/>
  <c r="M3" i="7"/>
  <c r="N3" i="7" s="1"/>
  <c r="Y233" i="9"/>
  <c r="M29" i="7" s="1"/>
  <c r="N29" i="7" s="1"/>
  <c r="M19" i="7"/>
  <c r="W232" i="9"/>
  <c r="M11" i="7" s="1"/>
  <c r="N11" i="7" s="1"/>
  <c r="Q233" i="9"/>
  <c r="M25" i="7" s="1"/>
  <c r="N25" i="7" s="1"/>
  <c r="M232" i="9"/>
  <c r="M6" i="7" s="1"/>
  <c r="N6" i="7" s="1"/>
  <c r="M233" i="9"/>
  <c r="M23" i="7" s="1"/>
  <c r="N23" i="7" s="1"/>
  <c r="AA233" i="9"/>
  <c r="M30" i="7" s="1"/>
  <c r="N30" i="7" s="1"/>
  <c r="AA232" i="9"/>
  <c r="M13" i="7" s="1"/>
  <c r="N13" i="7" s="1"/>
  <c r="U232" i="9"/>
  <c r="M10" i="7" s="1"/>
  <c r="N10" i="7" s="1"/>
  <c r="U233" i="9"/>
  <c r="M27" i="7" s="1"/>
  <c r="N27" i="7" s="1"/>
  <c r="S232" i="9"/>
  <c r="M9" i="7" s="1"/>
  <c r="N9" i="7" s="1"/>
  <c r="S233" i="9"/>
  <c r="M26" i="7" s="1"/>
  <c r="N26" i="7" s="1"/>
  <c r="K233" i="9"/>
  <c r="M22" i="7" s="1"/>
  <c r="N22" i="7" s="1"/>
  <c r="K232" i="9"/>
  <c r="M5" i="7" s="1"/>
  <c r="N5" i="7" s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7" i="1"/>
  <c r="L31" i="1" l="1"/>
  <c r="B17" i="8" s="1"/>
  <c r="V6" i="5"/>
  <c r="M10" i="2"/>
  <c r="J10" i="2"/>
  <c r="I10" i="2"/>
  <c r="H10" i="2"/>
  <c r="J11" i="2"/>
  <c r="I11" i="2"/>
  <c r="H11" i="2"/>
  <c r="M11" i="2"/>
  <c r="J82" i="4"/>
  <c r="I82" i="4"/>
  <c r="H82" i="4"/>
  <c r="K82" i="4" s="1"/>
  <c r="M82" i="4"/>
  <c r="J81" i="4"/>
  <c r="I81" i="4"/>
  <c r="H81" i="4"/>
  <c r="M81" i="4"/>
  <c r="M80" i="4"/>
  <c r="J80" i="4"/>
  <c r="I80" i="4"/>
  <c r="H80" i="4"/>
  <c r="K80" i="4" l="1"/>
  <c r="K10" i="2"/>
  <c r="K11" i="2"/>
  <c r="K81" i="4"/>
  <c r="M76" i="5"/>
  <c r="M44" i="6"/>
  <c r="J44" i="6"/>
  <c r="I44" i="6"/>
  <c r="H44" i="6"/>
  <c r="J43" i="6"/>
  <c r="I43" i="6"/>
  <c r="H43" i="6"/>
  <c r="M42" i="6"/>
  <c r="J42" i="6"/>
  <c r="I42" i="6"/>
  <c r="H42" i="6"/>
  <c r="J32" i="6"/>
  <c r="I32" i="6"/>
  <c r="H32" i="6"/>
  <c r="M31" i="6"/>
  <c r="J31" i="6"/>
  <c r="I31" i="6"/>
  <c r="H31" i="6"/>
  <c r="J30" i="6"/>
  <c r="I30" i="6"/>
  <c r="H30" i="6"/>
  <c r="J29" i="6"/>
  <c r="I29" i="6"/>
  <c r="H29" i="6"/>
  <c r="J28" i="6"/>
  <c r="I28" i="6"/>
  <c r="H28" i="6"/>
  <c r="K28" i="6" s="1"/>
  <c r="J27" i="6"/>
  <c r="I27" i="6"/>
  <c r="H27" i="6"/>
  <c r="J26" i="6"/>
  <c r="I26" i="6"/>
  <c r="H26" i="6"/>
  <c r="M25" i="6"/>
  <c r="J25" i="6"/>
  <c r="I25" i="6"/>
  <c r="H25" i="6"/>
  <c r="J24" i="6"/>
  <c r="I24" i="6"/>
  <c r="H24" i="6"/>
  <c r="J23" i="6"/>
  <c r="I23" i="6"/>
  <c r="H23" i="6"/>
  <c r="J22" i="6"/>
  <c r="I22" i="6"/>
  <c r="H22" i="6"/>
  <c r="K22" i="6" s="1"/>
  <c r="J90" i="6"/>
  <c r="I90" i="6"/>
  <c r="H90" i="6"/>
  <c r="J89" i="6"/>
  <c r="I89" i="6"/>
  <c r="H89" i="6"/>
  <c r="J88" i="6"/>
  <c r="I88" i="6"/>
  <c r="H88" i="6"/>
  <c r="J87" i="6"/>
  <c r="I87" i="6"/>
  <c r="H87" i="6"/>
  <c r="J86" i="6"/>
  <c r="I86" i="6"/>
  <c r="H86" i="6"/>
  <c r="J85" i="6"/>
  <c r="I85" i="6"/>
  <c r="H85" i="6"/>
  <c r="J84" i="6"/>
  <c r="I84" i="6"/>
  <c r="H84" i="6"/>
  <c r="J83" i="6"/>
  <c r="I83" i="6"/>
  <c r="H83" i="6"/>
  <c r="M82" i="6"/>
  <c r="J82" i="6"/>
  <c r="I82" i="6"/>
  <c r="H82" i="6"/>
  <c r="J81" i="6"/>
  <c r="I81" i="6"/>
  <c r="H81" i="6"/>
  <c r="J80" i="6"/>
  <c r="I80" i="6"/>
  <c r="H80" i="6"/>
  <c r="J79" i="6"/>
  <c r="I79" i="6"/>
  <c r="H79" i="6"/>
  <c r="M78" i="6"/>
  <c r="J78" i="6"/>
  <c r="I78" i="6"/>
  <c r="H78" i="6"/>
  <c r="M77" i="6"/>
  <c r="J77" i="6"/>
  <c r="I77" i="6"/>
  <c r="H77" i="6"/>
  <c r="M76" i="6"/>
  <c r="J76" i="6"/>
  <c r="I76" i="6"/>
  <c r="K76" i="6" s="1"/>
  <c r="H76" i="6"/>
  <c r="M75" i="6"/>
  <c r="J75" i="6"/>
  <c r="I75" i="6"/>
  <c r="H75" i="6"/>
  <c r="M74" i="6"/>
  <c r="J74" i="6"/>
  <c r="I74" i="6"/>
  <c r="H74" i="6"/>
  <c r="J73" i="6"/>
  <c r="I73" i="6"/>
  <c r="H73" i="6"/>
  <c r="J72" i="6"/>
  <c r="I72" i="6"/>
  <c r="H72" i="6"/>
  <c r="M71" i="6"/>
  <c r="J71" i="6"/>
  <c r="I71" i="6"/>
  <c r="H71" i="6"/>
  <c r="J70" i="6"/>
  <c r="I70" i="6"/>
  <c r="H70" i="6"/>
  <c r="M69" i="6"/>
  <c r="J69" i="6"/>
  <c r="I69" i="6"/>
  <c r="H69" i="6"/>
  <c r="M68" i="6"/>
  <c r="J68" i="6"/>
  <c r="I68" i="6"/>
  <c r="H68" i="6"/>
  <c r="M67" i="6"/>
  <c r="J67" i="6"/>
  <c r="I67" i="6"/>
  <c r="H67" i="6"/>
  <c r="J66" i="6"/>
  <c r="I66" i="6"/>
  <c r="H66" i="6"/>
  <c r="J65" i="6"/>
  <c r="I65" i="6"/>
  <c r="H65" i="6"/>
  <c r="M64" i="6"/>
  <c r="J64" i="6"/>
  <c r="I64" i="6"/>
  <c r="H64" i="6"/>
  <c r="J63" i="6"/>
  <c r="I63" i="6"/>
  <c r="H63" i="6"/>
  <c r="J62" i="6"/>
  <c r="I62" i="6"/>
  <c r="H62" i="6"/>
  <c r="J61" i="6"/>
  <c r="I61" i="6"/>
  <c r="H61" i="6"/>
  <c r="K61" i="6" s="1"/>
  <c r="J60" i="6"/>
  <c r="I60" i="6"/>
  <c r="H60" i="6"/>
  <c r="J59" i="6"/>
  <c r="I59" i="6"/>
  <c r="H59" i="6"/>
  <c r="J58" i="6"/>
  <c r="I58" i="6"/>
  <c r="H58" i="6"/>
  <c r="K58" i="6" s="1"/>
  <c r="J57" i="6"/>
  <c r="I57" i="6"/>
  <c r="H57" i="6"/>
  <c r="J56" i="6"/>
  <c r="I56" i="6"/>
  <c r="H56" i="6"/>
  <c r="J55" i="6"/>
  <c r="I55" i="6"/>
  <c r="K55" i="6" s="1"/>
  <c r="H55" i="6"/>
  <c r="J54" i="6"/>
  <c r="I54" i="6"/>
  <c r="H54" i="6"/>
  <c r="J53" i="6"/>
  <c r="I53" i="6"/>
  <c r="H53" i="6"/>
  <c r="J52" i="6"/>
  <c r="I52" i="6"/>
  <c r="H52" i="6"/>
  <c r="M51" i="6"/>
  <c r="J51" i="6"/>
  <c r="I51" i="6"/>
  <c r="H51" i="6"/>
  <c r="J50" i="6"/>
  <c r="I50" i="6"/>
  <c r="H50" i="6"/>
  <c r="M49" i="6"/>
  <c r="J49" i="6"/>
  <c r="I49" i="6"/>
  <c r="H49" i="6"/>
  <c r="J48" i="6"/>
  <c r="I48" i="6"/>
  <c r="H48" i="6"/>
  <c r="J47" i="6"/>
  <c r="I47" i="6"/>
  <c r="H47" i="6"/>
  <c r="J46" i="6"/>
  <c r="I46" i="6"/>
  <c r="H46" i="6"/>
  <c r="M104" i="6"/>
  <c r="J104" i="6"/>
  <c r="I104" i="6"/>
  <c r="H104" i="6"/>
  <c r="M103" i="6"/>
  <c r="J103" i="6"/>
  <c r="I103" i="6"/>
  <c r="H103" i="6"/>
  <c r="J102" i="6"/>
  <c r="I102" i="6"/>
  <c r="H102" i="6"/>
  <c r="J101" i="6"/>
  <c r="I101" i="6"/>
  <c r="H101" i="6"/>
  <c r="J100" i="6"/>
  <c r="I100" i="6"/>
  <c r="H100" i="6"/>
  <c r="J99" i="6"/>
  <c r="I99" i="6"/>
  <c r="H99" i="6"/>
  <c r="J98" i="6"/>
  <c r="I98" i="6"/>
  <c r="H98" i="6"/>
  <c r="K98" i="6" s="1"/>
  <c r="J97" i="6"/>
  <c r="I97" i="6"/>
  <c r="H97" i="6"/>
  <c r="M96" i="6"/>
  <c r="J96" i="6"/>
  <c r="I96" i="6"/>
  <c r="H96" i="6"/>
  <c r="J95" i="6"/>
  <c r="I95" i="6"/>
  <c r="H95" i="6"/>
  <c r="J94" i="6"/>
  <c r="I94" i="6"/>
  <c r="H94" i="6"/>
  <c r="J93" i="6"/>
  <c r="I93" i="6"/>
  <c r="H93" i="6"/>
  <c r="J92" i="6"/>
  <c r="I92" i="6"/>
  <c r="H92" i="6"/>
  <c r="M122" i="6"/>
  <c r="J122" i="6"/>
  <c r="I122" i="6"/>
  <c r="H122" i="6"/>
  <c r="J121" i="6"/>
  <c r="I121" i="6"/>
  <c r="H121" i="6"/>
  <c r="J120" i="6"/>
  <c r="I120" i="6"/>
  <c r="H120" i="6"/>
  <c r="J119" i="6"/>
  <c r="I119" i="6"/>
  <c r="H119" i="6"/>
  <c r="J118" i="6"/>
  <c r="I118" i="6"/>
  <c r="H118" i="6"/>
  <c r="J117" i="6"/>
  <c r="I117" i="6"/>
  <c r="H117" i="6"/>
  <c r="J116" i="6"/>
  <c r="I116" i="6"/>
  <c r="H116" i="6"/>
  <c r="J115" i="6"/>
  <c r="I115" i="6"/>
  <c r="H115" i="6"/>
  <c r="J114" i="6"/>
  <c r="I114" i="6"/>
  <c r="H114" i="6"/>
  <c r="M113" i="6"/>
  <c r="J113" i="6"/>
  <c r="I113" i="6"/>
  <c r="H113" i="6"/>
  <c r="J112" i="6"/>
  <c r="I112" i="6"/>
  <c r="H112" i="6"/>
  <c r="M111" i="6"/>
  <c r="J111" i="6"/>
  <c r="I111" i="6"/>
  <c r="H111" i="6"/>
  <c r="M110" i="6"/>
  <c r="J110" i="6"/>
  <c r="I110" i="6"/>
  <c r="H110" i="6"/>
  <c r="M109" i="6"/>
  <c r="J109" i="6"/>
  <c r="I109" i="6"/>
  <c r="H109" i="6"/>
  <c r="J108" i="6"/>
  <c r="I108" i="6"/>
  <c r="H108" i="6"/>
  <c r="J107" i="6"/>
  <c r="I107" i="6"/>
  <c r="H107" i="6"/>
  <c r="M106" i="6"/>
  <c r="J106" i="6"/>
  <c r="I106" i="6"/>
  <c r="H106" i="6"/>
  <c r="M153" i="6"/>
  <c r="J153" i="6"/>
  <c r="I153" i="6"/>
  <c r="H153" i="6"/>
  <c r="J152" i="6"/>
  <c r="I152" i="6"/>
  <c r="H152" i="6"/>
  <c r="J151" i="6"/>
  <c r="I151" i="6"/>
  <c r="H151" i="6"/>
  <c r="K151" i="6" s="1"/>
  <c r="J150" i="6"/>
  <c r="I150" i="6"/>
  <c r="H150" i="6"/>
  <c r="J149" i="6"/>
  <c r="I149" i="6"/>
  <c r="H149" i="6"/>
  <c r="J148" i="6"/>
  <c r="I148" i="6"/>
  <c r="H148" i="6"/>
  <c r="J147" i="6"/>
  <c r="I147" i="6"/>
  <c r="H147" i="6"/>
  <c r="J146" i="6"/>
  <c r="I146" i="6"/>
  <c r="H146" i="6"/>
  <c r="J145" i="6"/>
  <c r="I145" i="6"/>
  <c r="H145" i="6"/>
  <c r="J144" i="6"/>
  <c r="K144" i="6" s="1"/>
  <c r="I144" i="6"/>
  <c r="H144" i="6"/>
  <c r="J143" i="6"/>
  <c r="I143" i="6"/>
  <c r="H143" i="6"/>
  <c r="K142" i="6"/>
  <c r="J142" i="6"/>
  <c r="I142" i="6"/>
  <c r="H142" i="6"/>
  <c r="J141" i="6"/>
  <c r="I141" i="6"/>
  <c r="H141" i="6"/>
  <c r="J140" i="6"/>
  <c r="I140" i="6"/>
  <c r="H140" i="6"/>
  <c r="J139" i="6"/>
  <c r="I139" i="6"/>
  <c r="H139" i="6"/>
  <c r="J138" i="6"/>
  <c r="I138" i="6"/>
  <c r="H138" i="6"/>
  <c r="M137" i="6"/>
  <c r="J137" i="6"/>
  <c r="I137" i="6"/>
  <c r="H137" i="6"/>
  <c r="K137" i="6" s="1"/>
  <c r="J136" i="6"/>
  <c r="I136" i="6"/>
  <c r="H136" i="6"/>
  <c r="J135" i="6"/>
  <c r="I135" i="6"/>
  <c r="H135" i="6"/>
  <c r="K135" i="6" s="1"/>
  <c r="J134" i="6"/>
  <c r="I134" i="6"/>
  <c r="H134" i="6"/>
  <c r="J133" i="6"/>
  <c r="I133" i="6"/>
  <c r="K133" i="6" s="1"/>
  <c r="H133" i="6"/>
  <c r="J132" i="6"/>
  <c r="I132" i="6"/>
  <c r="H132" i="6"/>
  <c r="K132" i="6" s="1"/>
  <c r="J131" i="6"/>
  <c r="I131" i="6"/>
  <c r="H131" i="6"/>
  <c r="J129" i="6"/>
  <c r="I129" i="6"/>
  <c r="H129" i="6"/>
  <c r="J128" i="6"/>
  <c r="I128" i="6"/>
  <c r="H128" i="6"/>
  <c r="J127" i="6"/>
  <c r="I127" i="6"/>
  <c r="H127" i="6"/>
  <c r="J126" i="6"/>
  <c r="I126" i="6"/>
  <c r="H126" i="6"/>
  <c r="J125" i="6"/>
  <c r="I125" i="6"/>
  <c r="K125" i="6" s="1"/>
  <c r="H125" i="6"/>
  <c r="M124" i="6"/>
  <c r="J124" i="6"/>
  <c r="I124" i="6"/>
  <c r="H124" i="6"/>
  <c r="M163" i="6"/>
  <c r="J163" i="6"/>
  <c r="I163" i="6"/>
  <c r="H163" i="6"/>
  <c r="J162" i="6"/>
  <c r="K162" i="6" s="1"/>
  <c r="I162" i="6"/>
  <c r="H162" i="6"/>
  <c r="M161" i="6"/>
  <c r="J161" i="6"/>
  <c r="I161" i="6"/>
  <c r="H161" i="6"/>
  <c r="J160" i="6"/>
  <c r="I160" i="6"/>
  <c r="H160" i="6"/>
  <c r="M159" i="6"/>
  <c r="J159" i="6"/>
  <c r="I159" i="6"/>
  <c r="H159" i="6"/>
  <c r="J158" i="6"/>
  <c r="I158" i="6"/>
  <c r="H158" i="6"/>
  <c r="J157" i="6"/>
  <c r="I157" i="6"/>
  <c r="H157" i="6"/>
  <c r="M156" i="6"/>
  <c r="J156" i="6"/>
  <c r="I156" i="6"/>
  <c r="H156" i="6"/>
  <c r="M155" i="6"/>
  <c r="J155" i="6"/>
  <c r="I155" i="6"/>
  <c r="H155" i="6"/>
  <c r="J172" i="6"/>
  <c r="I172" i="6"/>
  <c r="H172" i="6"/>
  <c r="J170" i="6"/>
  <c r="I170" i="6"/>
  <c r="H170" i="6"/>
  <c r="J169" i="6"/>
  <c r="I169" i="6"/>
  <c r="H169" i="6"/>
  <c r="J168" i="6"/>
  <c r="I168" i="6"/>
  <c r="H168" i="6"/>
  <c r="J167" i="6"/>
  <c r="I167" i="6"/>
  <c r="H167" i="6"/>
  <c r="J166" i="6"/>
  <c r="I166" i="6"/>
  <c r="H166" i="6"/>
  <c r="J165" i="6"/>
  <c r="I165" i="6"/>
  <c r="H165" i="6"/>
  <c r="M169" i="3"/>
  <c r="M167" i="3"/>
  <c r="M163" i="3"/>
  <c r="J163" i="3"/>
  <c r="I163" i="3"/>
  <c r="H163" i="3"/>
  <c r="M162" i="3"/>
  <c r="M127" i="3"/>
  <c r="M128" i="3"/>
  <c r="M119" i="3"/>
  <c r="M68" i="3"/>
  <c r="J68" i="3"/>
  <c r="I68" i="3"/>
  <c r="H68" i="3"/>
  <c r="M69" i="3"/>
  <c r="M29" i="3"/>
  <c r="M30" i="3"/>
  <c r="M32" i="3"/>
  <c r="M36" i="3"/>
  <c r="M35" i="3"/>
  <c r="H36" i="3"/>
  <c r="I36" i="3"/>
  <c r="J36" i="3"/>
  <c r="M40" i="3"/>
  <c r="J40" i="3"/>
  <c r="I39" i="3"/>
  <c r="I40" i="3"/>
  <c r="H40" i="3"/>
  <c r="H39" i="3"/>
  <c r="J60" i="5"/>
  <c r="I60" i="5"/>
  <c r="K60" i="5" s="1"/>
  <c r="H60" i="5"/>
  <c r="M60" i="5"/>
  <c r="J60" i="4"/>
  <c r="I60" i="4"/>
  <c r="H60" i="4"/>
  <c r="M60" i="4"/>
  <c r="J85" i="4"/>
  <c r="I85" i="4"/>
  <c r="H85" i="4"/>
  <c r="M85" i="4"/>
  <c r="J10" i="7"/>
  <c r="M79" i="5"/>
  <c r="J79" i="5"/>
  <c r="I79" i="5"/>
  <c r="H79" i="5"/>
  <c r="K79" i="5" s="1"/>
  <c r="J78" i="5"/>
  <c r="I78" i="5"/>
  <c r="H78" i="5"/>
  <c r="M78" i="5"/>
  <c r="J77" i="5"/>
  <c r="I77" i="5"/>
  <c r="H77" i="5"/>
  <c r="K77" i="5" s="1"/>
  <c r="M77" i="5"/>
  <c r="J76" i="5"/>
  <c r="I76" i="5"/>
  <c r="H76" i="5"/>
  <c r="J75" i="5"/>
  <c r="I75" i="5"/>
  <c r="H75" i="5"/>
  <c r="M75" i="5"/>
  <c r="J74" i="5"/>
  <c r="I74" i="5"/>
  <c r="H74" i="5"/>
  <c r="M74" i="5"/>
  <c r="J73" i="5"/>
  <c r="I73" i="5"/>
  <c r="H73" i="5"/>
  <c r="K73" i="5" s="1"/>
  <c r="M73" i="5"/>
  <c r="M72" i="5"/>
  <c r="J72" i="5"/>
  <c r="I72" i="5"/>
  <c r="K72" i="5" s="1"/>
  <c r="H72" i="5"/>
  <c r="J71" i="5"/>
  <c r="I71" i="5"/>
  <c r="H71" i="5"/>
  <c r="M71" i="5"/>
  <c r="J70" i="5"/>
  <c r="I70" i="5"/>
  <c r="H70" i="5"/>
  <c r="M70" i="5"/>
  <c r="J69" i="5"/>
  <c r="I69" i="5"/>
  <c r="K69" i="5" s="1"/>
  <c r="H69" i="5"/>
  <c r="M69" i="5"/>
  <c r="M68" i="5"/>
  <c r="J68" i="5"/>
  <c r="I68" i="5"/>
  <c r="H68" i="5"/>
  <c r="K68" i="5" s="1"/>
  <c r="J67" i="5"/>
  <c r="I67" i="5"/>
  <c r="H67" i="5"/>
  <c r="M67" i="5"/>
  <c r="J66" i="5"/>
  <c r="I66" i="5"/>
  <c r="H66" i="5"/>
  <c r="M66" i="5"/>
  <c r="M65" i="5"/>
  <c r="J65" i="5"/>
  <c r="I65" i="5"/>
  <c r="H65" i="5"/>
  <c r="K65" i="5" s="1"/>
  <c r="M64" i="5"/>
  <c r="J64" i="5"/>
  <c r="I64" i="5"/>
  <c r="H64" i="5"/>
  <c r="M63" i="5"/>
  <c r="J63" i="5"/>
  <c r="I63" i="5"/>
  <c r="H63" i="5"/>
  <c r="M61" i="5"/>
  <c r="J61" i="5"/>
  <c r="I61" i="5"/>
  <c r="H61" i="5"/>
  <c r="M59" i="5"/>
  <c r="J59" i="5"/>
  <c r="I59" i="5"/>
  <c r="H59" i="5"/>
  <c r="J58" i="5"/>
  <c r="I58" i="5"/>
  <c r="H58" i="5"/>
  <c r="M58" i="5"/>
  <c r="K57" i="5"/>
  <c r="J57" i="5"/>
  <c r="I57" i="5"/>
  <c r="H57" i="5"/>
  <c r="M57" i="5"/>
  <c r="M56" i="5"/>
  <c r="K56" i="5"/>
  <c r="J56" i="5"/>
  <c r="I56" i="5"/>
  <c r="H56" i="5"/>
  <c r="J54" i="5"/>
  <c r="I54" i="5"/>
  <c r="H54" i="5"/>
  <c r="M54" i="5"/>
  <c r="J53" i="5"/>
  <c r="I53" i="5"/>
  <c r="H53" i="5"/>
  <c r="K53" i="5" s="1"/>
  <c r="M53" i="5"/>
  <c r="M52" i="5"/>
  <c r="K52" i="5"/>
  <c r="J52" i="5"/>
  <c r="I52" i="5"/>
  <c r="H52" i="5"/>
  <c r="J51" i="5"/>
  <c r="I51" i="5"/>
  <c r="H51" i="5"/>
  <c r="K51" i="5" s="1"/>
  <c r="M51" i="5"/>
  <c r="J50" i="5"/>
  <c r="I50" i="5"/>
  <c r="H50" i="5"/>
  <c r="M50" i="5"/>
  <c r="M49" i="5"/>
  <c r="K49" i="5"/>
  <c r="M48" i="5"/>
  <c r="J48" i="5"/>
  <c r="I48" i="5"/>
  <c r="H48" i="5"/>
  <c r="M46" i="5"/>
  <c r="J46" i="5"/>
  <c r="I46" i="5"/>
  <c r="H46" i="5"/>
  <c r="K46" i="5" s="1"/>
  <c r="K45" i="5"/>
  <c r="J45" i="5"/>
  <c r="I45" i="5"/>
  <c r="H45" i="5"/>
  <c r="M45" i="5"/>
  <c r="M44" i="5"/>
  <c r="J44" i="5"/>
  <c r="I44" i="5"/>
  <c r="K44" i="5" s="1"/>
  <c r="H44" i="5"/>
  <c r="M43" i="5"/>
  <c r="J43" i="5"/>
  <c r="I43" i="5"/>
  <c r="K43" i="5" s="1"/>
  <c r="H43" i="5"/>
  <c r="J42" i="5"/>
  <c r="I42" i="5"/>
  <c r="H42" i="5"/>
  <c r="K42" i="5" s="1"/>
  <c r="M42" i="5"/>
  <c r="M41" i="5"/>
  <c r="J41" i="5"/>
  <c r="I41" i="5"/>
  <c r="H41" i="5"/>
  <c r="K41" i="5" s="1"/>
  <c r="M40" i="5"/>
  <c r="J40" i="5"/>
  <c r="K40" i="5" s="1"/>
  <c r="I40" i="5"/>
  <c r="H40" i="5"/>
  <c r="J39" i="5"/>
  <c r="I39" i="5"/>
  <c r="H39" i="5"/>
  <c r="M39" i="5"/>
  <c r="J38" i="5"/>
  <c r="I38" i="5"/>
  <c r="H38" i="5"/>
  <c r="M38" i="5"/>
  <c r="M37" i="5"/>
  <c r="J37" i="5"/>
  <c r="I37" i="5"/>
  <c r="H37" i="5"/>
  <c r="K37" i="5" s="1"/>
  <c r="M36" i="5"/>
  <c r="J36" i="5"/>
  <c r="I36" i="5"/>
  <c r="H36" i="5"/>
  <c r="J35" i="5"/>
  <c r="I35" i="5"/>
  <c r="H35" i="5"/>
  <c r="M35" i="5"/>
  <c r="J34" i="5"/>
  <c r="I34" i="5"/>
  <c r="H34" i="5"/>
  <c r="M34" i="5"/>
  <c r="M33" i="5"/>
  <c r="J33" i="5"/>
  <c r="I33" i="5"/>
  <c r="H33" i="5"/>
  <c r="K33" i="5" s="1"/>
  <c r="M32" i="5"/>
  <c r="J32" i="5"/>
  <c r="K32" i="5" s="1"/>
  <c r="I32" i="5"/>
  <c r="H32" i="5"/>
  <c r="J31" i="5"/>
  <c r="I31" i="5"/>
  <c r="H31" i="5"/>
  <c r="K31" i="5" s="1"/>
  <c r="M31" i="5"/>
  <c r="M30" i="5"/>
  <c r="J30" i="5"/>
  <c r="I30" i="5"/>
  <c r="H30" i="5"/>
  <c r="M29" i="5"/>
  <c r="J29" i="5"/>
  <c r="I29" i="5"/>
  <c r="H29" i="5"/>
  <c r="J28" i="5"/>
  <c r="I28" i="5"/>
  <c r="K28" i="5" s="1"/>
  <c r="H28" i="5"/>
  <c r="M28" i="5"/>
  <c r="M26" i="5"/>
  <c r="J26" i="5"/>
  <c r="I26" i="5"/>
  <c r="H26" i="5"/>
  <c r="K26" i="5" s="1"/>
  <c r="M25" i="5"/>
  <c r="J25" i="5"/>
  <c r="I25" i="5"/>
  <c r="H25" i="5"/>
  <c r="J23" i="5"/>
  <c r="I23" i="5"/>
  <c r="H23" i="5"/>
  <c r="K23" i="5" s="1"/>
  <c r="M23" i="5"/>
  <c r="J22" i="5"/>
  <c r="I22" i="5"/>
  <c r="H22" i="5"/>
  <c r="M22" i="5"/>
  <c r="M21" i="5"/>
  <c r="J21" i="5"/>
  <c r="I21" i="5"/>
  <c r="H21" i="5"/>
  <c r="K21" i="5" s="1"/>
  <c r="V4" i="5" s="1"/>
  <c r="M20" i="5"/>
  <c r="J20" i="5"/>
  <c r="K20" i="5" s="1"/>
  <c r="I20" i="5"/>
  <c r="H20" i="5"/>
  <c r="J19" i="5"/>
  <c r="I19" i="5"/>
  <c r="H19" i="5"/>
  <c r="K19" i="5" s="1"/>
  <c r="M19" i="5"/>
  <c r="M17" i="5"/>
  <c r="J17" i="5"/>
  <c r="I17" i="5"/>
  <c r="H17" i="5"/>
  <c r="K17" i="5" s="1"/>
  <c r="J16" i="5"/>
  <c r="I16" i="5"/>
  <c r="H16" i="5"/>
  <c r="M16" i="5"/>
  <c r="K14" i="5"/>
  <c r="J14" i="5"/>
  <c r="I14" i="5"/>
  <c r="H14" i="5"/>
  <c r="M14" i="5"/>
  <c r="J12" i="5"/>
  <c r="I12" i="5"/>
  <c r="H12" i="5"/>
  <c r="M12" i="5"/>
  <c r="J10" i="5"/>
  <c r="I10" i="5"/>
  <c r="H10" i="5"/>
  <c r="M10" i="5"/>
  <c r="M9" i="5"/>
  <c r="J9" i="5"/>
  <c r="I9" i="5"/>
  <c r="H9" i="5"/>
  <c r="M8" i="5"/>
  <c r="J8" i="5"/>
  <c r="I8" i="5"/>
  <c r="H8" i="5"/>
  <c r="M7" i="5"/>
  <c r="J7" i="5"/>
  <c r="I7" i="5"/>
  <c r="H7" i="5"/>
  <c r="M6" i="5"/>
  <c r="J6" i="5"/>
  <c r="K6" i="5" s="1"/>
  <c r="I6" i="5"/>
  <c r="H6" i="5"/>
  <c r="J5" i="5"/>
  <c r="I5" i="5"/>
  <c r="K5" i="5" s="1"/>
  <c r="H5" i="5"/>
  <c r="M5" i="5"/>
  <c r="J4" i="5"/>
  <c r="I4" i="5"/>
  <c r="H4" i="5"/>
  <c r="M4" i="5"/>
  <c r="J12" i="4"/>
  <c r="I12" i="4"/>
  <c r="H12" i="4"/>
  <c r="M12" i="4"/>
  <c r="M11" i="4"/>
  <c r="J10" i="4"/>
  <c r="I10" i="4"/>
  <c r="H10" i="4"/>
  <c r="M10" i="4"/>
  <c r="M9" i="4"/>
  <c r="J9" i="4"/>
  <c r="I9" i="4"/>
  <c r="H9" i="4"/>
  <c r="M8" i="4"/>
  <c r="J8" i="4"/>
  <c r="I8" i="4"/>
  <c r="H8" i="4"/>
  <c r="M7" i="4"/>
  <c r="J7" i="4"/>
  <c r="I7" i="4"/>
  <c r="H7" i="4"/>
  <c r="J6" i="4"/>
  <c r="I6" i="4"/>
  <c r="H6" i="4"/>
  <c r="M6" i="4"/>
  <c r="J5" i="4"/>
  <c r="I5" i="4"/>
  <c r="H5" i="4"/>
  <c r="M5" i="4"/>
  <c r="J4" i="4"/>
  <c r="I4" i="4"/>
  <c r="H4" i="4"/>
  <c r="M4" i="4"/>
  <c r="M26" i="4"/>
  <c r="J26" i="4"/>
  <c r="I26" i="4"/>
  <c r="H26" i="4"/>
  <c r="J23" i="4"/>
  <c r="I23" i="4"/>
  <c r="H23" i="4"/>
  <c r="M23" i="4"/>
  <c r="J22" i="4"/>
  <c r="I22" i="4"/>
  <c r="H22" i="4"/>
  <c r="M22" i="4"/>
  <c r="J21" i="4"/>
  <c r="I21" i="4"/>
  <c r="H21" i="4"/>
  <c r="M21" i="4"/>
  <c r="J20" i="4"/>
  <c r="I20" i="4"/>
  <c r="H20" i="4"/>
  <c r="M20" i="4"/>
  <c r="H19" i="4"/>
  <c r="J18" i="4"/>
  <c r="I18" i="4"/>
  <c r="H18" i="4"/>
  <c r="M18" i="4"/>
  <c r="M17" i="4"/>
  <c r="J17" i="4"/>
  <c r="I17" i="4"/>
  <c r="H17" i="4"/>
  <c r="J16" i="4"/>
  <c r="I16" i="4"/>
  <c r="H16" i="4"/>
  <c r="M16" i="4"/>
  <c r="J14" i="4"/>
  <c r="I14" i="4"/>
  <c r="H14" i="4"/>
  <c r="M14" i="4"/>
  <c r="M19" i="4"/>
  <c r="I19" i="4"/>
  <c r="J19" i="4"/>
  <c r="M46" i="4"/>
  <c r="J46" i="4"/>
  <c r="I46" i="4"/>
  <c r="H46" i="4"/>
  <c r="M61" i="4"/>
  <c r="M59" i="4"/>
  <c r="J59" i="4"/>
  <c r="I59" i="4"/>
  <c r="H59" i="4"/>
  <c r="J58" i="4"/>
  <c r="I58" i="4"/>
  <c r="H58" i="4"/>
  <c r="M58" i="4"/>
  <c r="J57" i="4"/>
  <c r="I57" i="4"/>
  <c r="H57" i="4"/>
  <c r="M57" i="4"/>
  <c r="J56" i="4"/>
  <c r="I56" i="4"/>
  <c r="H56" i="4"/>
  <c r="M56" i="4"/>
  <c r="J54" i="4"/>
  <c r="I54" i="4"/>
  <c r="H54" i="4"/>
  <c r="M54" i="4"/>
  <c r="J53" i="4"/>
  <c r="I53" i="4"/>
  <c r="H53" i="4"/>
  <c r="M53" i="4"/>
  <c r="M52" i="4"/>
  <c r="J52" i="4"/>
  <c r="I52" i="4"/>
  <c r="H52" i="4"/>
  <c r="J51" i="4"/>
  <c r="I51" i="4"/>
  <c r="H51" i="4"/>
  <c r="M51" i="4"/>
  <c r="J50" i="4"/>
  <c r="I50" i="4"/>
  <c r="H50" i="4"/>
  <c r="M50" i="4"/>
  <c r="M49" i="4"/>
  <c r="J48" i="4"/>
  <c r="I48" i="4"/>
  <c r="H48" i="4"/>
  <c r="M48" i="4"/>
  <c r="M79" i="4"/>
  <c r="J79" i="4"/>
  <c r="I79" i="4"/>
  <c r="H79" i="4"/>
  <c r="J78" i="4"/>
  <c r="I78" i="4"/>
  <c r="H78" i="4"/>
  <c r="M78" i="4"/>
  <c r="J77" i="4"/>
  <c r="I77" i="4"/>
  <c r="H77" i="4"/>
  <c r="M77" i="4"/>
  <c r="J76" i="4"/>
  <c r="I76" i="4"/>
  <c r="H76" i="4"/>
  <c r="M76" i="4"/>
  <c r="J75" i="4"/>
  <c r="I75" i="4"/>
  <c r="H75" i="4"/>
  <c r="M75" i="4"/>
  <c r="J74" i="4"/>
  <c r="I74" i="4"/>
  <c r="H74" i="4"/>
  <c r="M74" i="4"/>
  <c r="J73" i="4"/>
  <c r="I73" i="4"/>
  <c r="H73" i="4"/>
  <c r="M73" i="4"/>
  <c r="J72" i="4"/>
  <c r="I72" i="4"/>
  <c r="H72" i="4"/>
  <c r="M72" i="4"/>
  <c r="J71" i="4"/>
  <c r="I71" i="4"/>
  <c r="H71" i="4"/>
  <c r="M71" i="4"/>
  <c r="J70" i="4"/>
  <c r="I70" i="4"/>
  <c r="H70" i="4"/>
  <c r="M70" i="4"/>
  <c r="J69" i="4"/>
  <c r="I69" i="4"/>
  <c r="H69" i="4"/>
  <c r="M69" i="4"/>
  <c r="M68" i="4"/>
  <c r="J68" i="4"/>
  <c r="I68" i="4"/>
  <c r="H68" i="4"/>
  <c r="J67" i="4"/>
  <c r="I67" i="4"/>
  <c r="H67" i="4"/>
  <c r="M67" i="4"/>
  <c r="J66" i="4"/>
  <c r="I66" i="4"/>
  <c r="H66" i="4"/>
  <c r="M66" i="4"/>
  <c r="J65" i="4"/>
  <c r="I65" i="4"/>
  <c r="H65" i="4"/>
  <c r="M65" i="4"/>
  <c r="J64" i="4"/>
  <c r="I64" i="4"/>
  <c r="H64" i="4"/>
  <c r="M64" i="4"/>
  <c r="M63" i="4"/>
  <c r="J63" i="4"/>
  <c r="I63" i="4"/>
  <c r="H63" i="4"/>
  <c r="J12" i="6"/>
  <c r="I12" i="6"/>
  <c r="H12" i="6"/>
  <c r="F12" i="6"/>
  <c r="M12" i="6" s="1"/>
  <c r="M11" i="6"/>
  <c r="J11" i="6"/>
  <c r="I11" i="6"/>
  <c r="H11" i="6"/>
  <c r="J10" i="6"/>
  <c r="I10" i="6"/>
  <c r="H10" i="6"/>
  <c r="F10" i="6"/>
  <c r="M10" i="6" s="1"/>
  <c r="M9" i="6"/>
  <c r="J9" i="6"/>
  <c r="I9" i="6"/>
  <c r="H9" i="6"/>
  <c r="M8" i="6"/>
  <c r="J8" i="6"/>
  <c r="I8" i="6"/>
  <c r="H8" i="6"/>
  <c r="M7" i="6"/>
  <c r="J7" i="6"/>
  <c r="I7" i="6"/>
  <c r="H7" i="6"/>
  <c r="J6" i="6"/>
  <c r="I6" i="6"/>
  <c r="H6" i="6"/>
  <c r="F6" i="6"/>
  <c r="M6" i="6" s="1"/>
  <c r="J5" i="6"/>
  <c r="I5" i="6"/>
  <c r="H5" i="6"/>
  <c r="F5" i="6"/>
  <c r="M5" i="6" s="1"/>
  <c r="J4" i="6"/>
  <c r="I4" i="6"/>
  <c r="H4" i="6"/>
  <c r="F4" i="6"/>
  <c r="M4" i="6" s="1"/>
  <c r="M19" i="6"/>
  <c r="J19" i="6"/>
  <c r="I19" i="6"/>
  <c r="H19" i="6"/>
  <c r="M18" i="6"/>
  <c r="J18" i="6"/>
  <c r="I18" i="6"/>
  <c r="H18" i="6"/>
  <c r="M17" i="6"/>
  <c r="J17" i="6"/>
  <c r="I17" i="6"/>
  <c r="H17" i="6"/>
  <c r="M16" i="6"/>
  <c r="J16" i="6"/>
  <c r="I16" i="6"/>
  <c r="H16" i="6"/>
  <c r="M15" i="6"/>
  <c r="J15" i="6"/>
  <c r="I15" i="6"/>
  <c r="H15" i="6"/>
  <c r="M14" i="6"/>
  <c r="J14" i="6"/>
  <c r="I14" i="6"/>
  <c r="H14" i="6"/>
  <c r="F43" i="6"/>
  <c r="M43" i="6" s="1"/>
  <c r="F42" i="6"/>
  <c r="F32" i="6"/>
  <c r="M32" i="6" s="1"/>
  <c r="F31" i="6"/>
  <c r="F30" i="6"/>
  <c r="M30" i="6" s="1"/>
  <c r="F29" i="6"/>
  <c r="M29" i="6" s="1"/>
  <c r="F28" i="6"/>
  <c r="M28" i="6" s="1"/>
  <c r="F27" i="6"/>
  <c r="M27" i="6" s="1"/>
  <c r="F26" i="6"/>
  <c r="M26" i="6" s="1"/>
  <c r="F24" i="6"/>
  <c r="M24" i="6" s="1"/>
  <c r="F23" i="6"/>
  <c r="M23" i="6" s="1"/>
  <c r="F22" i="6"/>
  <c r="M22" i="6" s="1"/>
  <c r="F46" i="6"/>
  <c r="M46" i="6" s="1"/>
  <c r="F47" i="6"/>
  <c r="M47" i="6" s="1"/>
  <c r="F48" i="6"/>
  <c r="M48" i="6" s="1"/>
  <c r="F90" i="6"/>
  <c r="M90" i="6" s="1"/>
  <c r="F89" i="6"/>
  <c r="M89" i="6" s="1"/>
  <c r="F88" i="6"/>
  <c r="M88" i="6" s="1"/>
  <c r="F87" i="6"/>
  <c r="M87" i="6" s="1"/>
  <c r="F86" i="6"/>
  <c r="M86" i="6" s="1"/>
  <c r="F85" i="6"/>
  <c r="M85" i="6" s="1"/>
  <c r="F84" i="6"/>
  <c r="M84" i="6" s="1"/>
  <c r="F83" i="6"/>
  <c r="M83" i="6" s="1"/>
  <c r="F82" i="6"/>
  <c r="F81" i="6"/>
  <c r="M81" i="6" s="1"/>
  <c r="F80" i="6"/>
  <c r="M80" i="6" s="1"/>
  <c r="F79" i="6"/>
  <c r="M79" i="6" s="1"/>
  <c r="F73" i="6"/>
  <c r="M73" i="6" s="1"/>
  <c r="F72" i="6"/>
  <c r="M72" i="6" s="1"/>
  <c r="F71" i="6"/>
  <c r="F70" i="6"/>
  <c r="M70" i="6" s="1"/>
  <c r="F69" i="6"/>
  <c r="F66" i="6"/>
  <c r="M66" i="6" s="1"/>
  <c r="F65" i="6"/>
  <c r="M65" i="6" s="1"/>
  <c r="F63" i="6"/>
  <c r="M63" i="6" s="1"/>
  <c r="F62" i="6"/>
  <c r="M62" i="6" s="1"/>
  <c r="F61" i="6"/>
  <c r="M61" i="6" s="1"/>
  <c r="F60" i="6"/>
  <c r="M60" i="6" s="1"/>
  <c r="F59" i="6"/>
  <c r="M59" i="6" s="1"/>
  <c r="F58" i="6"/>
  <c r="M58" i="6" s="1"/>
  <c r="F57" i="6"/>
  <c r="M57" i="6" s="1"/>
  <c r="F56" i="6"/>
  <c r="M56" i="6" s="1"/>
  <c r="F55" i="6"/>
  <c r="M55" i="6" s="1"/>
  <c r="F54" i="6"/>
  <c r="M54" i="6" s="1"/>
  <c r="F53" i="6"/>
  <c r="M53" i="6" s="1"/>
  <c r="F52" i="6"/>
  <c r="M52" i="6" s="1"/>
  <c r="F50" i="6"/>
  <c r="M50" i="6" s="1"/>
  <c r="F49" i="6"/>
  <c r="F102" i="6"/>
  <c r="M102" i="6" s="1"/>
  <c r="F101" i="6"/>
  <c r="M101" i="6" s="1"/>
  <c r="F100" i="6"/>
  <c r="M100" i="6" s="1"/>
  <c r="F99" i="6"/>
  <c r="M99" i="6" s="1"/>
  <c r="F98" i="6"/>
  <c r="M98" i="6" s="1"/>
  <c r="F97" i="6"/>
  <c r="M97" i="6" s="1"/>
  <c r="F95" i="6"/>
  <c r="M95" i="6" s="1"/>
  <c r="F94" i="6"/>
  <c r="M94" i="6" s="1"/>
  <c r="F93" i="6"/>
  <c r="M93" i="6" s="1"/>
  <c r="F92" i="6"/>
  <c r="M92" i="6" s="1"/>
  <c r="F152" i="6"/>
  <c r="M152" i="6" s="1"/>
  <c r="F151" i="6"/>
  <c r="M151" i="6" s="1"/>
  <c r="F150" i="6"/>
  <c r="M150" i="6" s="1"/>
  <c r="F149" i="6"/>
  <c r="M149" i="6" s="1"/>
  <c r="F148" i="6"/>
  <c r="M148" i="6" s="1"/>
  <c r="F147" i="6"/>
  <c r="M147" i="6" s="1"/>
  <c r="F146" i="6"/>
  <c r="M146" i="6" s="1"/>
  <c r="F145" i="6"/>
  <c r="M145" i="6" s="1"/>
  <c r="F144" i="6"/>
  <c r="M144" i="6" s="1"/>
  <c r="F143" i="6"/>
  <c r="M143" i="6" s="1"/>
  <c r="F142" i="6"/>
  <c r="M142" i="6" s="1"/>
  <c r="F141" i="6"/>
  <c r="M141" i="6" s="1"/>
  <c r="F140" i="6"/>
  <c r="M140" i="6" s="1"/>
  <c r="F139" i="6"/>
  <c r="M139" i="6" s="1"/>
  <c r="F138" i="6"/>
  <c r="M138" i="6" s="1"/>
  <c r="F136" i="6"/>
  <c r="M136" i="6" s="1"/>
  <c r="F135" i="6"/>
  <c r="M135" i="6" s="1"/>
  <c r="F134" i="6"/>
  <c r="M134" i="6" s="1"/>
  <c r="F133" i="6"/>
  <c r="M133" i="6" s="1"/>
  <c r="F132" i="6"/>
  <c r="M132" i="6" s="1"/>
  <c r="F131" i="6"/>
  <c r="M131" i="6" s="1"/>
  <c r="F130" i="6"/>
  <c r="M130" i="6" s="1"/>
  <c r="F129" i="6"/>
  <c r="M129" i="6" s="1"/>
  <c r="F128" i="6"/>
  <c r="M128" i="6" s="1"/>
  <c r="F127" i="6"/>
  <c r="M127" i="6" s="1"/>
  <c r="F126" i="6"/>
  <c r="M126" i="6" s="1"/>
  <c r="F125" i="6"/>
  <c r="M125" i="6" s="1"/>
  <c r="F124" i="6"/>
  <c r="F172" i="6"/>
  <c r="M172" i="6" s="1"/>
  <c r="F170" i="6"/>
  <c r="M170" i="6" s="1"/>
  <c r="F169" i="6"/>
  <c r="M169" i="6" s="1"/>
  <c r="F168" i="6"/>
  <c r="M168" i="6" s="1"/>
  <c r="F167" i="6"/>
  <c r="M167" i="6" s="1"/>
  <c r="F166" i="6"/>
  <c r="M166" i="6" s="1"/>
  <c r="F165" i="6"/>
  <c r="M165" i="6" s="1"/>
  <c r="J168" i="3"/>
  <c r="I168" i="3"/>
  <c r="H168" i="3"/>
  <c r="J69" i="3"/>
  <c r="I69" i="3"/>
  <c r="H69" i="3"/>
  <c r="J71" i="3"/>
  <c r="I71" i="3"/>
  <c r="H71" i="3"/>
  <c r="M71" i="3"/>
  <c r="J70" i="3"/>
  <c r="I70" i="3"/>
  <c r="H70" i="3"/>
  <c r="M70" i="3"/>
  <c r="F121" i="6"/>
  <c r="M121" i="6" s="1"/>
  <c r="F120" i="6"/>
  <c r="M120" i="6" s="1"/>
  <c r="F119" i="6"/>
  <c r="M119" i="6" s="1"/>
  <c r="F118" i="6"/>
  <c r="M118" i="6" s="1"/>
  <c r="F117" i="6"/>
  <c r="M117" i="6" s="1"/>
  <c r="F116" i="6"/>
  <c r="M116" i="6" s="1"/>
  <c r="F115" i="6"/>
  <c r="M115" i="6" s="1"/>
  <c r="F114" i="6"/>
  <c r="M114" i="6" s="1"/>
  <c r="F113" i="6"/>
  <c r="F112" i="6"/>
  <c r="M112" i="6" s="1"/>
  <c r="F110" i="6"/>
  <c r="F109" i="6"/>
  <c r="F108" i="6"/>
  <c r="M108" i="6" s="1"/>
  <c r="F107" i="6"/>
  <c r="M107" i="6" s="1"/>
  <c r="F163" i="6"/>
  <c r="F162" i="6"/>
  <c r="M162" i="6" s="1"/>
  <c r="F161" i="6"/>
  <c r="F160" i="6"/>
  <c r="M160" i="6" s="1"/>
  <c r="F159" i="6"/>
  <c r="F158" i="6"/>
  <c r="M158" i="6" s="1"/>
  <c r="F157" i="6"/>
  <c r="M157" i="6" s="1"/>
  <c r="F156" i="6"/>
  <c r="M101" i="3"/>
  <c r="I101" i="3"/>
  <c r="H101" i="3"/>
  <c r="J101" i="3"/>
  <c r="J119" i="3"/>
  <c r="I119" i="3"/>
  <c r="H119" i="3"/>
  <c r="J35" i="2"/>
  <c r="I35" i="2"/>
  <c r="H35" i="2"/>
  <c r="J37" i="2"/>
  <c r="I37" i="2"/>
  <c r="H37" i="2"/>
  <c r="M37" i="2"/>
  <c r="K58" i="5" l="1"/>
  <c r="K61" i="5"/>
  <c r="K95" i="6"/>
  <c r="K30" i="5"/>
  <c r="K50" i="5"/>
  <c r="V3" i="5" s="1"/>
  <c r="K63" i="5"/>
  <c r="K70" i="5"/>
  <c r="K169" i="6"/>
  <c r="K138" i="6"/>
  <c r="K22" i="5"/>
  <c r="K25" i="5"/>
  <c r="K59" i="5"/>
  <c r="K74" i="5"/>
  <c r="K76" i="5"/>
  <c r="K78" i="5"/>
  <c r="K167" i="6"/>
  <c r="K147" i="6"/>
  <c r="K150" i="6"/>
  <c r="K99" i="6"/>
  <c r="K49" i="6"/>
  <c r="K67" i="6"/>
  <c r="K23" i="6"/>
  <c r="K34" i="5"/>
  <c r="K54" i="5"/>
  <c r="K67" i="5"/>
  <c r="K134" i="6"/>
  <c r="K60" i="6"/>
  <c r="K73" i="6"/>
  <c r="K84" i="6"/>
  <c r="K17" i="6"/>
  <c r="K9" i="5"/>
  <c r="K12" i="5"/>
  <c r="V9" i="5" s="1"/>
  <c r="K36" i="5"/>
  <c r="K38" i="5"/>
  <c r="K165" i="6"/>
  <c r="K170" i="6"/>
  <c r="K155" i="6"/>
  <c r="K157" i="6"/>
  <c r="K131" i="6"/>
  <c r="K139" i="6"/>
  <c r="K153" i="6"/>
  <c r="K107" i="6"/>
  <c r="K52" i="6"/>
  <c r="K85" i="6"/>
  <c r="K24" i="6"/>
  <c r="K29" i="6"/>
  <c r="K16" i="5"/>
  <c r="K35" i="5"/>
  <c r="K64" i="5"/>
  <c r="K66" i="5"/>
  <c r="K166" i="6"/>
  <c r="K126" i="6"/>
  <c r="K108" i="6"/>
  <c r="K46" i="6"/>
  <c r="K56" i="6"/>
  <c r="K66" i="6"/>
  <c r="K70" i="6"/>
  <c r="K27" i="6"/>
  <c r="K32" i="6"/>
  <c r="K71" i="5"/>
  <c r="K4" i="5"/>
  <c r="K8" i="5"/>
  <c r="K10" i="5"/>
  <c r="K39" i="5"/>
  <c r="K75" i="5"/>
  <c r="K106" i="6"/>
  <c r="K64" i="6"/>
  <c r="K86" i="6"/>
  <c r="K30" i="6"/>
  <c r="K68" i="6"/>
  <c r="V8" i="5"/>
  <c r="K40" i="3"/>
  <c r="K69" i="3"/>
  <c r="K7" i="5"/>
  <c r="K37" i="2"/>
  <c r="K48" i="5"/>
  <c r="K168" i="6"/>
  <c r="K172" i="6"/>
  <c r="K160" i="6"/>
  <c r="K124" i="6"/>
  <c r="K112" i="6"/>
  <c r="K114" i="6"/>
  <c r="K120" i="6"/>
  <c r="K122" i="6"/>
  <c r="K93" i="6"/>
  <c r="K97" i="6"/>
  <c r="K57" i="6"/>
  <c r="K63" i="6"/>
  <c r="K69" i="6"/>
  <c r="K75" i="6"/>
  <c r="K31" i="6"/>
  <c r="K42" i="6"/>
  <c r="K156" i="6"/>
  <c r="K158" i="6"/>
  <c r="K130" i="6"/>
  <c r="K143" i="6"/>
  <c r="K145" i="6"/>
  <c r="K152" i="6"/>
  <c r="K110" i="6"/>
  <c r="K116" i="6"/>
  <c r="K118" i="6"/>
  <c r="K101" i="6"/>
  <c r="K48" i="6"/>
  <c r="K50" i="6"/>
  <c r="K65" i="6"/>
  <c r="K71" i="6"/>
  <c r="K77" i="6"/>
  <c r="K83" i="6"/>
  <c r="K44" i="6"/>
  <c r="K128" i="6"/>
  <c r="K149" i="6"/>
  <c r="K12" i="6"/>
  <c r="K159" i="6"/>
  <c r="K140" i="6"/>
  <c r="K109" i="6"/>
  <c r="K115" i="6"/>
  <c r="K117" i="6"/>
  <c r="K92" i="6"/>
  <c r="K94" i="6"/>
  <c r="K96" i="6"/>
  <c r="K62" i="6"/>
  <c r="K72" i="6"/>
  <c r="K74" i="6"/>
  <c r="K87" i="6"/>
  <c r="K89" i="6"/>
  <c r="K26" i="6"/>
  <c r="K54" i="6"/>
  <c r="K127" i="6"/>
  <c r="K129" i="6"/>
  <c r="K136" i="6"/>
  <c r="K146" i="6"/>
  <c r="K100" i="6"/>
  <c r="K102" i="6"/>
  <c r="K104" i="6"/>
  <c r="K51" i="6"/>
  <c r="K80" i="6"/>
  <c r="K82" i="6"/>
  <c r="K81" i="6"/>
  <c r="K161" i="6"/>
  <c r="K148" i="6"/>
  <c r="K111" i="6"/>
  <c r="K113" i="6"/>
  <c r="K119" i="6"/>
  <c r="K121" i="6"/>
  <c r="K47" i="6"/>
  <c r="K53" i="6"/>
  <c r="K59" i="6"/>
  <c r="K78" i="6"/>
  <c r="K88" i="6"/>
  <c r="K90" i="6"/>
  <c r="K25" i="6"/>
  <c r="K43" i="6"/>
  <c r="K5" i="6"/>
  <c r="K6" i="6"/>
  <c r="K141" i="6"/>
  <c r="K103" i="6"/>
  <c r="K79" i="6"/>
  <c r="K29" i="5"/>
  <c r="K8" i="4"/>
  <c r="K60" i="4"/>
  <c r="K85" i="4"/>
  <c r="V5" i="4" s="1"/>
  <c r="K11" i="4"/>
  <c r="K5" i="4"/>
  <c r="K9" i="4"/>
  <c r="K163" i="6"/>
  <c r="K4" i="4"/>
  <c r="K74" i="4"/>
  <c r="K50" i="4"/>
  <c r="K6" i="4"/>
  <c r="K10" i="4"/>
  <c r="K7" i="4"/>
  <c r="K12" i="4"/>
  <c r="K8" i="6"/>
  <c r="K15" i="6"/>
  <c r="K19" i="6"/>
  <c r="K10" i="6"/>
  <c r="K9" i="6"/>
  <c r="K14" i="6"/>
  <c r="K16" i="6"/>
  <c r="K7" i="6"/>
  <c r="K11" i="6"/>
  <c r="K4" i="6"/>
  <c r="K18" i="6"/>
  <c r="K26" i="4"/>
  <c r="K19" i="4"/>
  <c r="K17" i="4"/>
  <c r="K23" i="4"/>
  <c r="K20" i="4"/>
  <c r="V3" i="4" s="1"/>
  <c r="K16" i="4"/>
  <c r="K18" i="4"/>
  <c r="K14" i="4"/>
  <c r="K58" i="4"/>
  <c r="K22" i="4"/>
  <c r="K21" i="4"/>
  <c r="K46" i="4"/>
  <c r="K61" i="4"/>
  <c r="K63" i="4"/>
  <c r="K48" i="4"/>
  <c r="K65" i="4"/>
  <c r="K59" i="4"/>
  <c r="K75" i="4"/>
  <c r="K53" i="4"/>
  <c r="K57" i="4"/>
  <c r="K77" i="4"/>
  <c r="K54" i="4"/>
  <c r="K64" i="4"/>
  <c r="K66" i="4"/>
  <c r="K56" i="4"/>
  <c r="K72" i="4"/>
  <c r="K51" i="4"/>
  <c r="K49" i="4"/>
  <c r="K52" i="4"/>
  <c r="K67" i="4"/>
  <c r="K69" i="4"/>
  <c r="K71" i="4"/>
  <c r="K76" i="4"/>
  <c r="K78" i="4"/>
  <c r="K73" i="4"/>
  <c r="K68" i="4"/>
  <c r="K70" i="4"/>
  <c r="K79" i="4"/>
  <c r="K71" i="3"/>
  <c r="K70" i="3"/>
  <c r="K101" i="3"/>
  <c r="H162" i="3"/>
  <c r="H161" i="3"/>
  <c r="J162" i="3"/>
  <c r="I162" i="3"/>
  <c r="J35" i="3"/>
  <c r="I35" i="3"/>
  <c r="H35" i="3"/>
  <c r="V5" i="5" l="1"/>
  <c r="V6" i="4"/>
  <c r="V7" i="4"/>
  <c r="V5" i="6"/>
  <c r="V6" i="6"/>
  <c r="V7" i="6"/>
  <c r="V8" i="6"/>
  <c r="V2" i="4"/>
  <c r="V4" i="6"/>
  <c r="V2" i="6"/>
  <c r="V3" i="6"/>
  <c r="K36" i="3"/>
  <c r="K162" i="3"/>
  <c r="K35" i="3"/>
  <c r="J32" i="3" l="1"/>
  <c r="I32" i="3"/>
  <c r="H32" i="3"/>
  <c r="J167" i="3" l="1"/>
  <c r="I167" i="3"/>
  <c r="H167" i="3"/>
  <c r="J30" i="3"/>
  <c r="I30" i="3"/>
  <c r="H30" i="3"/>
  <c r="J29" i="3"/>
  <c r="I29" i="3"/>
  <c r="H29" i="3"/>
  <c r="J49" i="3"/>
  <c r="I49" i="3"/>
  <c r="H49" i="3"/>
  <c r="M49" i="3"/>
  <c r="J48" i="3"/>
  <c r="I48" i="3"/>
  <c r="H48" i="3"/>
  <c r="M48" i="3"/>
  <c r="J47" i="3"/>
  <c r="I47" i="3"/>
  <c r="H47" i="3"/>
  <c r="M47" i="3"/>
  <c r="M96" i="3"/>
  <c r="J96" i="3"/>
  <c r="I96" i="3"/>
  <c r="H96" i="3"/>
  <c r="J128" i="3"/>
  <c r="I128" i="3"/>
  <c r="H128" i="3"/>
  <c r="J127" i="3"/>
  <c r="I127" i="3"/>
  <c r="H127" i="3"/>
  <c r="J169" i="3"/>
  <c r="I169" i="3"/>
  <c r="H169" i="3"/>
  <c r="J41" i="3"/>
  <c r="I41" i="3"/>
  <c r="H41" i="3"/>
  <c r="M41" i="3"/>
  <c r="J25" i="3"/>
  <c r="I25" i="3"/>
  <c r="H25" i="3"/>
  <c r="J39" i="3"/>
  <c r="M39" i="3"/>
  <c r="M25" i="3"/>
  <c r="C36" i="1"/>
  <c r="F36" i="1" s="1"/>
  <c r="G36" i="1" s="1"/>
  <c r="D36" i="1"/>
  <c r="E36" i="1"/>
  <c r="F4" i="3"/>
  <c r="M4" i="3" s="1"/>
  <c r="H4" i="3"/>
  <c r="I4" i="3"/>
  <c r="J4" i="3"/>
  <c r="F5" i="3"/>
  <c r="M5" i="3" s="1"/>
  <c r="H5" i="3"/>
  <c r="I5" i="3"/>
  <c r="J5" i="3"/>
  <c r="F6" i="3"/>
  <c r="M6" i="3" s="1"/>
  <c r="H6" i="3"/>
  <c r="I6" i="3"/>
  <c r="J6" i="3"/>
  <c r="H7" i="3"/>
  <c r="I7" i="3"/>
  <c r="J7" i="3"/>
  <c r="M7" i="3"/>
  <c r="H8" i="3"/>
  <c r="I8" i="3"/>
  <c r="J8" i="3"/>
  <c r="M8" i="3"/>
  <c r="H9" i="3"/>
  <c r="I9" i="3"/>
  <c r="J9" i="3"/>
  <c r="M9" i="3"/>
  <c r="F10" i="3"/>
  <c r="M10" i="3" s="1"/>
  <c r="H10" i="3"/>
  <c r="I10" i="3"/>
  <c r="J10" i="3"/>
  <c r="H11" i="3"/>
  <c r="I11" i="3"/>
  <c r="J11" i="3"/>
  <c r="M11" i="3"/>
  <c r="F12" i="3"/>
  <c r="M12" i="3" s="1"/>
  <c r="H12" i="3"/>
  <c r="I12" i="3"/>
  <c r="J12" i="3"/>
  <c r="H14" i="3"/>
  <c r="I14" i="3"/>
  <c r="J14" i="3"/>
  <c r="M14" i="3"/>
  <c r="H15" i="3"/>
  <c r="I15" i="3"/>
  <c r="J15" i="3"/>
  <c r="M15" i="3"/>
  <c r="H16" i="3"/>
  <c r="I16" i="3"/>
  <c r="J16" i="3"/>
  <c r="M16" i="3"/>
  <c r="H17" i="3"/>
  <c r="I17" i="3"/>
  <c r="J17" i="3"/>
  <c r="M17" i="3"/>
  <c r="H18" i="3"/>
  <c r="I18" i="3"/>
  <c r="J18" i="3"/>
  <c r="M18" i="3"/>
  <c r="H19" i="3"/>
  <c r="I19" i="3"/>
  <c r="J19" i="3"/>
  <c r="M19" i="3"/>
  <c r="M22" i="3"/>
  <c r="H22" i="3"/>
  <c r="I22" i="3"/>
  <c r="J22" i="3"/>
  <c r="M23" i="3"/>
  <c r="H23" i="3"/>
  <c r="I23" i="3"/>
  <c r="J23" i="3"/>
  <c r="M24" i="3"/>
  <c r="H24" i="3"/>
  <c r="I24" i="3"/>
  <c r="J24" i="3"/>
  <c r="M26" i="3"/>
  <c r="H26" i="3"/>
  <c r="I26" i="3"/>
  <c r="J26" i="3"/>
  <c r="M27" i="3"/>
  <c r="H27" i="3"/>
  <c r="I27" i="3"/>
  <c r="J27" i="3"/>
  <c r="M28" i="3"/>
  <c r="H28" i="3"/>
  <c r="I28" i="3"/>
  <c r="J28" i="3"/>
  <c r="M31" i="3"/>
  <c r="H31" i="3"/>
  <c r="I31" i="3"/>
  <c r="J31" i="3"/>
  <c r="M37" i="3"/>
  <c r="H37" i="3"/>
  <c r="I37" i="3"/>
  <c r="J37" i="3"/>
  <c r="M38" i="3"/>
  <c r="H38" i="3"/>
  <c r="I38" i="3"/>
  <c r="J38" i="3"/>
  <c r="M42" i="3"/>
  <c r="H42" i="3"/>
  <c r="I42" i="3"/>
  <c r="J42" i="3"/>
  <c r="M43" i="3"/>
  <c r="H43" i="3"/>
  <c r="I43" i="3"/>
  <c r="J43" i="3"/>
  <c r="H44" i="3"/>
  <c r="I44" i="3"/>
  <c r="J44" i="3"/>
  <c r="M44" i="3"/>
  <c r="M46" i="3"/>
  <c r="H46" i="3"/>
  <c r="I46" i="3"/>
  <c r="J46" i="3"/>
  <c r="M50" i="3"/>
  <c r="H50" i="3"/>
  <c r="I50" i="3"/>
  <c r="J50" i="3"/>
  <c r="H51" i="3"/>
  <c r="I51" i="3"/>
  <c r="J51" i="3"/>
  <c r="M51" i="3"/>
  <c r="M52" i="3"/>
  <c r="H52" i="3"/>
  <c r="I52" i="3"/>
  <c r="J52" i="3"/>
  <c r="M53" i="3"/>
  <c r="H53" i="3"/>
  <c r="I53" i="3"/>
  <c r="J53" i="3"/>
  <c r="M54" i="3"/>
  <c r="H54" i="3"/>
  <c r="I54" i="3"/>
  <c r="J54" i="3"/>
  <c r="H55" i="3"/>
  <c r="I55" i="3"/>
  <c r="J55" i="3"/>
  <c r="M55" i="3"/>
  <c r="M56" i="3"/>
  <c r="H56" i="3"/>
  <c r="I56" i="3"/>
  <c r="J56" i="3"/>
  <c r="M57" i="3"/>
  <c r="H57" i="3"/>
  <c r="I57" i="3"/>
  <c r="J57" i="3"/>
  <c r="M58" i="3"/>
  <c r="H58" i="3"/>
  <c r="I58" i="3"/>
  <c r="J58" i="3"/>
  <c r="M59" i="3"/>
  <c r="H59" i="3"/>
  <c r="I59" i="3"/>
  <c r="J59" i="3"/>
  <c r="M60" i="3"/>
  <c r="H60" i="3"/>
  <c r="I60" i="3"/>
  <c r="J60" i="3"/>
  <c r="M61" i="3"/>
  <c r="H61" i="3"/>
  <c r="I61" i="3"/>
  <c r="J61" i="3"/>
  <c r="M62" i="3"/>
  <c r="H62" i="3"/>
  <c r="I62" i="3"/>
  <c r="J62" i="3"/>
  <c r="M63" i="3"/>
  <c r="H63" i="3"/>
  <c r="I63" i="3"/>
  <c r="J63" i="3"/>
  <c r="H64" i="3"/>
  <c r="I64" i="3"/>
  <c r="J64" i="3"/>
  <c r="M64" i="3"/>
  <c r="M65" i="3"/>
  <c r="H65" i="3"/>
  <c r="I65" i="3"/>
  <c r="J65" i="3"/>
  <c r="M66" i="3"/>
  <c r="H66" i="3"/>
  <c r="I66" i="3"/>
  <c r="J66" i="3"/>
  <c r="H67" i="3"/>
  <c r="I67" i="3"/>
  <c r="J67" i="3"/>
  <c r="M67" i="3"/>
  <c r="H74" i="3"/>
  <c r="I74" i="3"/>
  <c r="J74" i="3"/>
  <c r="M74" i="3"/>
  <c r="H75" i="3"/>
  <c r="I75" i="3"/>
  <c r="J75" i="3"/>
  <c r="M75" i="3"/>
  <c r="H76" i="3"/>
  <c r="I76" i="3"/>
  <c r="J76" i="3"/>
  <c r="M76" i="3"/>
  <c r="H77" i="3"/>
  <c r="I77" i="3"/>
  <c r="J77" i="3"/>
  <c r="M77" i="3"/>
  <c r="H78" i="3"/>
  <c r="I78" i="3"/>
  <c r="J78" i="3"/>
  <c r="M78" i="3"/>
  <c r="M79" i="3"/>
  <c r="H79" i="3"/>
  <c r="I79" i="3"/>
  <c r="J79" i="3"/>
  <c r="M80" i="3"/>
  <c r="H80" i="3"/>
  <c r="I80" i="3"/>
  <c r="J80" i="3"/>
  <c r="M81" i="3"/>
  <c r="H81" i="3"/>
  <c r="I81" i="3"/>
  <c r="J81" i="3"/>
  <c r="M82" i="3"/>
  <c r="H82" i="3"/>
  <c r="I82" i="3"/>
  <c r="J82" i="3"/>
  <c r="M72" i="3"/>
  <c r="H72" i="3"/>
  <c r="I72" i="3"/>
  <c r="J72" i="3"/>
  <c r="M73" i="3"/>
  <c r="H73" i="3"/>
  <c r="I73" i="3"/>
  <c r="J73" i="3"/>
  <c r="M83" i="3"/>
  <c r="H83" i="3"/>
  <c r="I83" i="3"/>
  <c r="J83" i="3"/>
  <c r="M84" i="3"/>
  <c r="H84" i="3"/>
  <c r="I84" i="3"/>
  <c r="J84" i="3"/>
  <c r="M85" i="3"/>
  <c r="H85" i="3"/>
  <c r="I85" i="3"/>
  <c r="J85" i="3"/>
  <c r="M86" i="3"/>
  <c r="H86" i="3"/>
  <c r="I86" i="3"/>
  <c r="J86" i="3"/>
  <c r="M87" i="3"/>
  <c r="H87" i="3"/>
  <c r="I87" i="3"/>
  <c r="J87" i="3"/>
  <c r="M88" i="3"/>
  <c r="H88" i="3"/>
  <c r="I88" i="3"/>
  <c r="J88" i="3"/>
  <c r="M89" i="3"/>
  <c r="H89" i="3"/>
  <c r="I89" i="3"/>
  <c r="J89" i="3"/>
  <c r="M90" i="3"/>
  <c r="H90" i="3"/>
  <c r="I90" i="3"/>
  <c r="J90" i="3"/>
  <c r="M92" i="3"/>
  <c r="H92" i="3"/>
  <c r="I92" i="3"/>
  <c r="J92" i="3"/>
  <c r="M93" i="3"/>
  <c r="H93" i="3"/>
  <c r="I93" i="3"/>
  <c r="J93" i="3"/>
  <c r="M94" i="3"/>
  <c r="H94" i="3"/>
  <c r="I94" i="3"/>
  <c r="J94" i="3"/>
  <c r="M95" i="3"/>
  <c r="H95" i="3"/>
  <c r="I95" i="3"/>
  <c r="J95" i="3"/>
  <c r="M97" i="3"/>
  <c r="H97" i="3"/>
  <c r="I97" i="3"/>
  <c r="J97" i="3"/>
  <c r="M98" i="3"/>
  <c r="H98" i="3"/>
  <c r="I98" i="3"/>
  <c r="J98" i="3"/>
  <c r="M99" i="3"/>
  <c r="H99" i="3"/>
  <c r="I99" i="3"/>
  <c r="J99" i="3"/>
  <c r="M100" i="3"/>
  <c r="H100" i="3"/>
  <c r="I100" i="3"/>
  <c r="J100" i="3"/>
  <c r="M102" i="3"/>
  <c r="H102" i="3"/>
  <c r="I102" i="3"/>
  <c r="J102" i="3"/>
  <c r="H103" i="3"/>
  <c r="I103" i="3"/>
  <c r="J103" i="3"/>
  <c r="M103" i="3"/>
  <c r="H104" i="3"/>
  <c r="I104" i="3"/>
  <c r="J104" i="3"/>
  <c r="M104" i="3"/>
  <c r="H106" i="3"/>
  <c r="I106" i="3"/>
  <c r="J106" i="3"/>
  <c r="M106" i="3"/>
  <c r="M107" i="3"/>
  <c r="H107" i="3"/>
  <c r="I107" i="3"/>
  <c r="J107" i="3"/>
  <c r="M108" i="3"/>
  <c r="H108" i="3"/>
  <c r="I108" i="3"/>
  <c r="J108" i="3"/>
  <c r="M109" i="3"/>
  <c r="H109" i="3"/>
  <c r="I109" i="3"/>
  <c r="J109" i="3"/>
  <c r="M110" i="3"/>
  <c r="H110" i="3"/>
  <c r="I110" i="3"/>
  <c r="J110" i="3"/>
  <c r="H111" i="3"/>
  <c r="I111" i="3"/>
  <c r="J111" i="3"/>
  <c r="M111" i="3"/>
  <c r="M112" i="3"/>
  <c r="I112" i="3"/>
  <c r="J112" i="3"/>
  <c r="M113" i="3"/>
  <c r="H113" i="3"/>
  <c r="I113" i="3"/>
  <c r="J113" i="3"/>
  <c r="M114" i="3"/>
  <c r="H114" i="3"/>
  <c r="I114" i="3"/>
  <c r="J114" i="3"/>
  <c r="M115" i="3"/>
  <c r="H115" i="3"/>
  <c r="I115" i="3"/>
  <c r="J115" i="3"/>
  <c r="M116" i="3"/>
  <c r="H116" i="3"/>
  <c r="I116" i="3"/>
  <c r="J116" i="3"/>
  <c r="M117" i="3"/>
  <c r="H117" i="3"/>
  <c r="I117" i="3"/>
  <c r="J117" i="3"/>
  <c r="M118" i="3"/>
  <c r="H118" i="3"/>
  <c r="I118" i="3"/>
  <c r="J118" i="3"/>
  <c r="K119" i="3"/>
  <c r="M120" i="3"/>
  <c r="H120" i="3"/>
  <c r="I120" i="3"/>
  <c r="J120" i="3"/>
  <c r="M121" i="3"/>
  <c r="H121" i="3"/>
  <c r="I121" i="3"/>
  <c r="J121" i="3"/>
  <c r="H122" i="3"/>
  <c r="I122" i="3"/>
  <c r="J122" i="3"/>
  <c r="M122" i="3"/>
  <c r="M124" i="3"/>
  <c r="H124" i="3"/>
  <c r="I124" i="3"/>
  <c r="J124" i="3"/>
  <c r="M125" i="3"/>
  <c r="H125" i="3"/>
  <c r="I125" i="3"/>
  <c r="J125" i="3"/>
  <c r="M126" i="3"/>
  <c r="H126" i="3"/>
  <c r="I126" i="3"/>
  <c r="J126" i="3"/>
  <c r="M129" i="3"/>
  <c r="H129" i="3"/>
  <c r="I129" i="3"/>
  <c r="J129" i="3"/>
  <c r="M130" i="3"/>
  <c r="M131" i="3"/>
  <c r="H131" i="3"/>
  <c r="I131" i="3"/>
  <c r="J131" i="3"/>
  <c r="M132" i="3"/>
  <c r="H132" i="3"/>
  <c r="I132" i="3"/>
  <c r="J132" i="3"/>
  <c r="M133" i="3"/>
  <c r="H133" i="3"/>
  <c r="I133" i="3"/>
  <c r="J133" i="3"/>
  <c r="M134" i="3"/>
  <c r="H134" i="3"/>
  <c r="I134" i="3"/>
  <c r="J134" i="3"/>
  <c r="M135" i="3"/>
  <c r="H135" i="3"/>
  <c r="I135" i="3"/>
  <c r="J135" i="3"/>
  <c r="M136" i="3"/>
  <c r="H136" i="3"/>
  <c r="I136" i="3"/>
  <c r="J136" i="3"/>
  <c r="H137" i="3"/>
  <c r="I137" i="3"/>
  <c r="J137" i="3"/>
  <c r="M137" i="3"/>
  <c r="M138" i="3"/>
  <c r="H138" i="3"/>
  <c r="I138" i="3"/>
  <c r="J138" i="3"/>
  <c r="M139" i="3"/>
  <c r="H139" i="3"/>
  <c r="I139" i="3"/>
  <c r="J139" i="3"/>
  <c r="M140" i="3"/>
  <c r="H140" i="3"/>
  <c r="I140" i="3"/>
  <c r="J140" i="3"/>
  <c r="M141" i="3"/>
  <c r="H141" i="3"/>
  <c r="I141" i="3"/>
  <c r="J141" i="3"/>
  <c r="M142" i="3"/>
  <c r="H142" i="3"/>
  <c r="I142" i="3"/>
  <c r="J142" i="3"/>
  <c r="M143" i="3"/>
  <c r="H143" i="3"/>
  <c r="I143" i="3"/>
  <c r="J143" i="3"/>
  <c r="M144" i="3"/>
  <c r="H144" i="3"/>
  <c r="I144" i="3"/>
  <c r="J144" i="3"/>
  <c r="M145" i="3"/>
  <c r="H145" i="3"/>
  <c r="I145" i="3"/>
  <c r="J145" i="3"/>
  <c r="M146" i="3"/>
  <c r="H146" i="3"/>
  <c r="I146" i="3"/>
  <c r="J146" i="3"/>
  <c r="M147" i="3"/>
  <c r="H147" i="3"/>
  <c r="I147" i="3"/>
  <c r="J147" i="3"/>
  <c r="M148" i="3"/>
  <c r="H148" i="3"/>
  <c r="I148" i="3"/>
  <c r="J148" i="3"/>
  <c r="M149" i="3"/>
  <c r="H149" i="3"/>
  <c r="I149" i="3"/>
  <c r="J149" i="3"/>
  <c r="M150" i="3"/>
  <c r="H150" i="3"/>
  <c r="I150" i="3"/>
  <c r="J150" i="3"/>
  <c r="M151" i="3"/>
  <c r="H151" i="3"/>
  <c r="I151" i="3"/>
  <c r="J151" i="3"/>
  <c r="M152" i="3"/>
  <c r="H152" i="3"/>
  <c r="I152" i="3"/>
  <c r="J152" i="3"/>
  <c r="H153" i="3"/>
  <c r="I153" i="3"/>
  <c r="J153" i="3"/>
  <c r="M153" i="3"/>
  <c r="H155" i="3"/>
  <c r="I155" i="3"/>
  <c r="J155" i="3"/>
  <c r="M155" i="3"/>
  <c r="M156" i="3"/>
  <c r="H156" i="3"/>
  <c r="I156" i="3"/>
  <c r="J156" i="3"/>
  <c r="M157" i="3"/>
  <c r="H157" i="3"/>
  <c r="I157" i="3"/>
  <c r="J157" i="3"/>
  <c r="M158" i="3"/>
  <c r="H158" i="3"/>
  <c r="I158" i="3"/>
  <c r="J158" i="3"/>
  <c r="M159" i="3"/>
  <c r="H159" i="3"/>
  <c r="I159" i="3"/>
  <c r="J159" i="3"/>
  <c r="M160" i="3"/>
  <c r="H160" i="3"/>
  <c r="I160" i="3"/>
  <c r="J160" i="3"/>
  <c r="M161" i="3"/>
  <c r="I161" i="3"/>
  <c r="J161" i="3"/>
  <c r="M165" i="3"/>
  <c r="H165" i="3"/>
  <c r="I165" i="3"/>
  <c r="J165" i="3"/>
  <c r="M166" i="3"/>
  <c r="H166" i="3"/>
  <c r="I166" i="3"/>
  <c r="J166" i="3"/>
  <c r="M168" i="3"/>
  <c r="K168" i="3"/>
  <c r="M170" i="3"/>
  <c r="H170" i="3"/>
  <c r="I170" i="3"/>
  <c r="J170" i="3"/>
  <c r="M172" i="3"/>
  <c r="H172" i="3"/>
  <c r="I172" i="3"/>
  <c r="J172" i="3"/>
  <c r="H175" i="3"/>
  <c r="I175" i="3"/>
  <c r="J175" i="3"/>
  <c r="M175" i="3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/>
  <c r="J15" i="1"/>
  <c r="K15" i="1" s="1"/>
  <c r="J16" i="1"/>
  <c r="K16" i="1"/>
  <c r="J17" i="1"/>
  <c r="K17" i="1"/>
  <c r="J18" i="1"/>
  <c r="K18" i="1" s="1"/>
  <c r="J19" i="1"/>
  <c r="K19" i="1"/>
  <c r="J20" i="1"/>
  <c r="K20" i="1"/>
  <c r="J21" i="1"/>
  <c r="K21" i="1" s="1"/>
  <c r="J22" i="1"/>
  <c r="K22" i="1" s="1"/>
  <c r="J23" i="1"/>
  <c r="K23" i="1"/>
  <c r="J24" i="1"/>
  <c r="K24" i="1"/>
  <c r="J25" i="1"/>
  <c r="K25" i="1"/>
  <c r="J26" i="1"/>
  <c r="K26" i="1"/>
  <c r="C27" i="1"/>
  <c r="D27" i="1"/>
  <c r="E27" i="1"/>
  <c r="F27" i="1"/>
  <c r="G27" i="1"/>
  <c r="H27" i="1"/>
  <c r="I27" i="1"/>
  <c r="D35" i="1"/>
  <c r="B36" i="1"/>
  <c r="H175" i="6"/>
  <c r="I175" i="6"/>
  <c r="J175" i="6"/>
  <c r="M175" i="6"/>
  <c r="Q15" i="4"/>
  <c r="Q16" i="4" s="1"/>
  <c r="M28" i="4"/>
  <c r="H28" i="4"/>
  <c r="I28" i="4"/>
  <c r="J28" i="4"/>
  <c r="M29" i="4"/>
  <c r="H29" i="4"/>
  <c r="I29" i="4"/>
  <c r="J29" i="4"/>
  <c r="H30" i="4"/>
  <c r="I30" i="4"/>
  <c r="J30" i="4"/>
  <c r="M30" i="4"/>
  <c r="M31" i="4"/>
  <c r="H31" i="4"/>
  <c r="I31" i="4"/>
  <c r="J31" i="4"/>
  <c r="M32" i="4"/>
  <c r="H32" i="4"/>
  <c r="I32" i="4"/>
  <c r="J32" i="4"/>
  <c r="M33" i="4"/>
  <c r="H33" i="4"/>
  <c r="I33" i="4"/>
  <c r="J33" i="4"/>
  <c r="M34" i="4"/>
  <c r="H34" i="4"/>
  <c r="I34" i="4"/>
  <c r="J34" i="4"/>
  <c r="M35" i="4"/>
  <c r="H35" i="4"/>
  <c r="I35" i="4"/>
  <c r="J35" i="4"/>
  <c r="M36" i="4"/>
  <c r="H36" i="4"/>
  <c r="I36" i="4"/>
  <c r="J36" i="4"/>
  <c r="M37" i="4"/>
  <c r="H37" i="4"/>
  <c r="I37" i="4"/>
  <c r="J37" i="4"/>
  <c r="M38" i="4"/>
  <c r="H38" i="4"/>
  <c r="I38" i="4"/>
  <c r="J38" i="4"/>
  <c r="M39" i="4"/>
  <c r="H39" i="4"/>
  <c r="I39" i="4"/>
  <c r="J39" i="4"/>
  <c r="M40" i="4"/>
  <c r="H40" i="4"/>
  <c r="I40" i="4"/>
  <c r="J40" i="4"/>
  <c r="M41" i="4"/>
  <c r="H41" i="4"/>
  <c r="I41" i="4"/>
  <c r="J41" i="4"/>
  <c r="M42" i="4"/>
  <c r="H42" i="4"/>
  <c r="I42" i="4"/>
  <c r="J42" i="4"/>
  <c r="H43" i="4"/>
  <c r="I43" i="4"/>
  <c r="J43" i="4"/>
  <c r="M43" i="4"/>
  <c r="M44" i="4"/>
  <c r="H44" i="4"/>
  <c r="I44" i="4"/>
  <c r="J44" i="4"/>
  <c r="M45" i="4"/>
  <c r="H45" i="4"/>
  <c r="I45" i="4"/>
  <c r="J45" i="4"/>
  <c r="H88" i="4"/>
  <c r="I88" i="4"/>
  <c r="J88" i="4"/>
  <c r="M88" i="4"/>
  <c r="J84" i="5"/>
  <c r="H82" i="5"/>
  <c r="I82" i="5"/>
  <c r="J82" i="5"/>
  <c r="M82" i="5"/>
  <c r="M4" i="2"/>
  <c r="H4" i="2"/>
  <c r="I4" i="2"/>
  <c r="J4" i="2"/>
  <c r="M5" i="2"/>
  <c r="H5" i="2"/>
  <c r="I5" i="2"/>
  <c r="J5" i="2"/>
  <c r="K5" i="2" s="1"/>
  <c r="M6" i="2"/>
  <c r="H6" i="2"/>
  <c r="I6" i="2"/>
  <c r="J6" i="2"/>
  <c r="M7" i="2"/>
  <c r="H7" i="2"/>
  <c r="I7" i="2"/>
  <c r="J7" i="2"/>
  <c r="M8" i="2"/>
  <c r="H8" i="2"/>
  <c r="I8" i="2"/>
  <c r="J8" i="2"/>
  <c r="M9" i="2"/>
  <c r="H9" i="2"/>
  <c r="I9" i="2"/>
  <c r="J9" i="2"/>
  <c r="H13" i="2"/>
  <c r="I13" i="2"/>
  <c r="J13" i="2"/>
  <c r="M13" i="2"/>
  <c r="M14" i="2"/>
  <c r="H14" i="2"/>
  <c r="I14" i="2"/>
  <c r="J14" i="2"/>
  <c r="M15" i="2"/>
  <c r="H15" i="2"/>
  <c r="I15" i="2"/>
  <c r="J15" i="2"/>
  <c r="H16" i="2"/>
  <c r="I16" i="2"/>
  <c r="J16" i="2"/>
  <c r="M16" i="2"/>
  <c r="M17" i="2"/>
  <c r="I17" i="2"/>
  <c r="J17" i="2"/>
  <c r="H18" i="2"/>
  <c r="I18" i="2"/>
  <c r="J18" i="2"/>
  <c r="M18" i="2"/>
  <c r="H19" i="2"/>
  <c r="I19" i="2"/>
  <c r="J19" i="2"/>
  <c r="M19" i="2"/>
  <c r="H20" i="2"/>
  <c r="I20" i="2"/>
  <c r="J20" i="2"/>
  <c r="M20" i="2"/>
  <c r="M21" i="2"/>
  <c r="H21" i="2"/>
  <c r="I21" i="2"/>
  <c r="J21" i="2"/>
  <c r="M26" i="2"/>
  <c r="H26" i="2"/>
  <c r="I26" i="2"/>
  <c r="J26" i="2"/>
  <c r="M27" i="2"/>
  <c r="H27" i="2"/>
  <c r="I27" i="2"/>
  <c r="J27" i="2"/>
  <c r="M28" i="2"/>
  <c r="H28" i="2"/>
  <c r="I28" i="2"/>
  <c r="J28" i="2"/>
  <c r="M29" i="2"/>
  <c r="H29" i="2"/>
  <c r="I29" i="2"/>
  <c r="J29" i="2"/>
  <c r="H30" i="2"/>
  <c r="I30" i="2"/>
  <c r="J30" i="2"/>
  <c r="M30" i="2"/>
  <c r="M31" i="2"/>
  <c r="H31" i="2"/>
  <c r="I31" i="2"/>
  <c r="J31" i="2"/>
  <c r="M33" i="2"/>
  <c r="H33" i="2"/>
  <c r="I33" i="2"/>
  <c r="J33" i="2"/>
  <c r="H34" i="2"/>
  <c r="I34" i="2"/>
  <c r="J34" i="2"/>
  <c r="M35" i="2"/>
  <c r="K35" i="2"/>
  <c r="M36" i="2"/>
  <c r="H36" i="2"/>
  <c r="I36" i="2"/>
  <c r="J36" i="2"/>
  <c r="M38" i="2"/>
  <c r="H40" i="2"/>
  <c r="I40" i="2"/>
  <c r="J40" i="2"/>
  <c r="M40" i="2"/>
  <c r="H41" i="2"/>
  <c r="I41" i="2"/>
  <c r="J41" i="2"/>
  <c r="M41" i="2"/>
  <c r="M42" i="2"/>
  <c r="H42" i="2"/>
  <c r="I42" i="2"/>
  <c r="J42" i="2"/>
  <c r="M43" i="2"/>
  <c r="H43" i="2"/>
  <c r="I43" i="2"/>
  <c r="J43" i="2"/>
  <c r="H44" i="2"/>
  <c r="I44" i="2"/>
  <c r="J44" i="2"/>
  <c r="M44" i="2"/>
  <c r="M46" i="2"/>
  <c r="H46" i="2"/>
  <c r="I46" i="2"/>
  <c r="J46" i="2"/>
  <c r="M47" i="2"/>
  <c r="H47" i="2"/>
  <c r="I47" i="2"/>
  <c r="J47" i="2"/>
  <c r="M48" i="2"/>
  <c r="H48" i="2"/>
  <c r="I48" i="2"/>
  <c r="J48" i="2"/>
  <c r="M49" i="2"/>
  <c r="H49" i="2"/>
  <c r="I49" i="2"/>
  <c r="J49" i="2"/>
  <c r="H52" i="2"/>
  <c r="I52" i="2"/>
  <c r="J52" i="2"/>
  <c r="M52" i="2"/>
  <c r="I1" i="7"/>
  <c r="M84" i="5"/>
  <c r="Q19" i="5" s="1"/>
  <c r="Q20" i="5" s="1"/>
  <c r="K82" i="5" l="1"/>
  <c r="V7" i="5" s="1"/>
  <c r="K49" i="3"/>
  <c r="K46" i="2"/>
  <c r="K43" i="2"/>
  <c r="K4" i="2"/>
  <c r="K19" i="2"/>
  <c r="K20" i="2"/>
  <c r="K47" i="2"/>
  <c r="K36" i="2"/>
  <c r="K26" i="2"/>
  <c r="K33" i="2"/>
  <c r="K28" i="2"/>
  <c r="K34" i="2"/>
  <c r="K21" i="2"/>
  <c r="K49" i="2"/>
  <c r="K30" i="2"/>
  <c r="K31" i="2"/>
  <c r="K9" i="2"/>
  <c r="K48" i="2"/>
  <c r="K44" i="2"/>
  <c r="K42" i="2"/>
  <c r="K40" i="2"/>
  <c r="K29" i="2"/>
  <c r="K41" i="2"/>
  <c r="K14" i="2"/>
  <c r="K13" i="2"/>
  <c r="K8" i="2"/>
  <c r="K15" i="2"/>
  <c r="K16" i="2"/>
  <c r="K38" i="2"/>
  <c r="K6" i="2"/>
  <c r="K7" i="2"/>
  <c r="K17" i="2"/>
  <c r="I54" i="2"/>
  <c r="K27" i="2"/>
  <c r="K36" i="4"/>
  <c r="K41" i="4"/>
  <c r="K88" i="4"/>
  <c r="K44" i="4"/>
  <c r="K42" i="4"/>
  <c r="K40" i="4"/>
  <c r="K30" i="4"/>
  <c r="K28" i="4"/>
  <c r="V8" i="4" s="1"/>
  <c r="K38" i="4"/>
  <c r="K34" i="4"/>
  <c r="K32" i="4"/>
  <c r="K37" i="4"/>
  <c r="V4" i="4" s="1"/>
  <c r="J90" i="4"/>
  <c r="K45" i="4"/>
  <c r="K35" i="4"/>
  <c r="K39" i="4"/>
  <c r="K33" i="4"/>
  <c r="K31" i="4"/>
  <c r="I90" i="4"/>
  <c r="K43" i="4"/>
  <c r="K29" i="4"/>
  <c r="M90" i="4"/>
  <c r="K50" i="3"/>
  <c r="K12" i="3"/>
  <c r="K126" i="3"/>
  <c r="K8" i="3"/>
  <c r="K172" i="3"/>
  <c r="K82" i="3"/>
  <c r="K43" i="3"/>
  <c r="K143" i="3"/>
  <c r="K7" i="3"/>
  <c r="K161" i="3"/>
  <c r="K120" i="3"/>
  <c r="K93" i="3"/>
  <c r="K41" i="3"/>
  <c r="K136" i="3"/>
  <c r="K122" i="3"/>
  <c r="K116" i="3"/>
  <c r="K80" i="3"/>
  <c r="K153" i="3"/>
  <c r="K112" i="3"/>
  <c r="K94" i="3"/>
  <c r="K42" i="3"/>
  <c r="K131" i="3"/>
  <c r="K81" i="3"/>
  <c r="K86" i="3"/>
  <c r="K84" i="3"/>
  <c r="K68" i="3"/>
  <c r="K163" i="3"/>
  <c r="K149" i="3"/>
  <c r="K142" i="3"/>
  <c r="K109" i="3"/>
  <c r="M20" i="3"/>
  <c r="V9" i="3" s="1"/>
  <c r="K9" i="3"/>
  <c r="K100" i="3"/>
  <c r="K106" i="3"/>
  <c r="K83" i="3"/>
  <c r="K44" i="3"/>
  <c r="K124" i="3"/>
  <c r="K110" i="3"/>
  <c r="K95" i="3"/>
  <c r="K55" i="3"/>
  <c r="K155" i="3"/>
  <c r="K152" i="3"/>
  <c r="K147" i="3"/>
  <c r="K104" i="3"/>
  <c r="K60" i="3"/>
  <c r="K51" i="3"/>
  <c r="K46" i="3"/>
  <c r="K18" i="3"/>
  <c r="K14" i="3"/>
  <c r="K175" i="3"/>
  <c r="K148" i="3"/>
  <c r="K113" i="3"/>
  <c r="K97" i="3"/>
  <c r="K64" i="3"/>
  <c r="K62" i="3"/>
  <c r="K56" i="3"/>
  <c r="K5" i="3"/>
  <c r="K139" i="3"/>
  <c r="K108" i="3"/>
  <c r="K74" i="3"/>
  <c r="K151" i="3"/>
  <c r="K144" i="3"/>
  <c r="K130" i="3"/>
  <c r="K78" i="3"/>
  <c r="K76" i="3"/>
  <c r="K63" i="3"/>
  <c r="K27" i="3"/>
  <c r="K24" i="3"/>
  <c r="K19" i="3"/>
  <c r="K160" i="3"/>
  <c r="K150" i="3"/>
  <c r="K134" i="3"/>
  <c r="K111" i="3"/>
  <c r="K103" i="3"/>
  <c r="K99" i="3"/>
  <c r="K90" i="3"/>
  <c r="K73" i="3"/>
  <c r="K65" i="3"/>
  <c r="K58" i="3"/>
  <c r="K53" i="3"/>
  <c r="K23" i="3"/>
  <c r="K4" i="3"/>
  <c r="K158" i="3"/>
  <c r="K156" i="3"/>
  <c r="K137" i="3"/>
  <c r="K132" i="3"/>
  <c r="K121" i="3"/>
  <c r="K88" i="3"/>
  <c r="K85" i="3"/>
  <c r="K79" i="3"/>
  <c r="K67" i="3"/>
  <c r="K11" i="3"/>
  <c r="K96" i="3"/>
  <c r="K77" i="3"/>
  <c r="K15" i="3"/>
  <c r="K159" i="3"/>
  <c r="K133" i="3"/>
  <c r="K102" i="3"/>
  <c r="K92" i="3"/>
  <c r="K75" i="3"/>
  <c r="K66" i="3"/>
  <c r="K59" i="3"/>
  <c r="K57" i="3"/>
  <c r="K54" i="3"/>
  <c r="K22" i="3"/>
  <c r="K10" i="3"/>
  <c r="K47" i="3"/>
  <c r="K140" i="3"/>
  <c r="K135" i="3"/>
  <c r="K107" i="3"/>
  <c r="K157" i="3"/>
  <c r="K138" i="3"/>
  <c r="K52" i="3"/>
  <c r="K28" i="3"/>
  <c r="K125" i="3"/>
  <c r="K115" i="3"/>
  <c r="K61" i="3"/>
  <c r="K17" i="3"/>
  <c r="K166" i="3"/>
  <c r="K141" i="3"/>
  <c r="K129" i="3"/>
  <c r="K89" i="3"/>
  <c r="K87" i="3"/>
  <c r="K72" i="3"/>
  <c r="K26" i="3"/>
  <c r="K16" i="3"/>
  <c r="K6" i="3"/>
  <c r="K175" i="6"/>
  <c r="M20" i="6"/>
  <c r="V9" i="6" s="1"/>
  <c r="H177" i="6"/>
  <c r="I84" i="5"/>
  <c r="K117" i="3"/>
  <c r="K31" i="3"/>
  <c r="K29" i="3"/>
  <c r="K165" i="3"/>
  <c r="K48" i="3"/>
  <c r="K118" i="3"/>
  <c r="K114" i="3"/>
  <c r="K98" i="3"/>
  <c r="K146" i="3"/>
  <c r="H84" i="5"/>
  <c r="K84" i="5"/>
  <c r="H90" i="4"/>
  <c r="K32" i="3"/>
  <c r="K167" i="3"/>
  <c r="K30" i="3"/>
  <c r="K170" i="3"/>
  <c r="I177" i="3"/>
  <c r="K38" i="3"/>
  <c r="K128" i="3"/>
  <c r="K127" i="3"/>
  <c r="K169" i="3"/>
  <c r="J177" i="3"/>
  <c r="K37" i="3"/>
  <c r="K39" i="3"/>
  <c r="K25" i="3"/>
  <c r="K18" i="2"/>
  <c r="H54" i="2"/>
  <c r="K52" i="2"/>
  <c r="J54" i="2"/>
  <c r="M177" i="3"/>
  <c r="Q19" i="3" s="1"/>
  <c r="Q20" i="3" s="1"/>
  <c r="K29" i="1"/>
  <c r="K31" i="1" s="1"/>
  <c r="M177" i="6"/>
  <c r="Q19" i="6" s="1"/>
  <c r="Q20" i="6" s="1"/>
  <c r="J177" i="6"/>
  <c r="I177" i="6"/>
  <c r="K145" i="3"/>
  <c r="M54" i="2"/>
  <c r="Q18" i="2" s="1"/>
  <c r="Q19" i="2" s="1"/>
  <c r="H177" i="3"/>
  <c r="V3" i="3" l="1"/>
  <c r="B25" i="8" s="1"/>
  <c r="C25" i="8" s="1"/>
  <c r="M33" i="7"/>
  <c r="N33" i="7" s="1"/>
  <c r="M16" i="7"/>
  <c r="N16" i="7" s="1"/>
  <c r="V6" i="3"/>
  <c r="V8" i="3"/>
  <c r="V7" i="3"/>
  <c r="V4" i="3"/>
  <c r="C17" i="8"/>
  <c r="B34" i="8"/>
  <c r="C34" i="8" s="1"/>
  <c r="V5" i="3"/>
  <c r="V2" i="3"/>
  <c r="V4" i="2"/>
  <c r="V6" i="2"/>
  <c r="V5" i="2"/>
  <c r="V7" i="2"/>
  <c r="V2" i="2"/>
  <c r="V8" i="2"/>
  <c r="K35" i="1"/>
  <c r="D8" i="7" s="1"/>
  <c r="K54" i="2"/>
  <c r="Q25" i="2" s="1"/>
  <c r="R25" i="2" s="1"/>
  <c r="K33" i="1"/>
  <c r="D6" i="7" s="1"/>
  <c r="K34" i="1"/>
  <c r="D7" i="7" s="1"/>
  <c r="K90" i="4"/>
  <c r="Q27" i="5" s="1"/>
  <c r="R27" i="5" s="1"/>
  <c r="K177" i="6"/>
  <c r="Q29" i="6" s="1"/>
  <c r="R29" i="6" s="1"/>
  <c r="D24" i="7"/>
  <c r="D25" i="7"/>
  <c r="D26" i="7"/>
  <c r="K177" i="3"/>
  <c r="Q23" i="4" s="1"/>
  <c r="R23" i="4" s="1"/>
  <c r="Q29" i="3"/>
  <c r="R29" i="3" s="1"/>
  <c r="Q25" i="4"/>
  <c r="R25" i="4" s="1"/>
  <c r="Q4" i="5"/>
  <c r="Q28" i="6"/>
  <c r="R28" i="6" s="1"/>
  <c r="Q28" i="5"/>
  <c r="R28" i="5" s="1"/>
  <c r="Q28" i="2"/>
  <c r="R28" i="2" s="1"/>
  <c r="B28" i="8" l="1"/>
  <c r="C28" i="8" s="1"/>
  <c r="B11" i="8"/>
  <c r="C11" i="8" s="1"/>
  <c r="B24" i="8"/>
  <c r="B27" i="8"/>
  <c r="C27" i="8" s="1"/>
  <c r="B12" i="8"/>
  <c r="C12" i="8" s="1"/>
  <c r="B30" i="8"/>
  <c r="C30" i="8" s="1"/>
  <c r="B9" i="8"/>
  <c r="C9" i="8" s="1"/>
  <c r="B13" i="8"/>
  <c r="C13" i="8" s="1"/>
  <c r="B29" i="8"/>
  <c r="C29" i="8" s="1"/>
  <c r="B26" i="8"/>
  <c r="C26" i="8" s="1"/>
  <c r="B10" i="8"/>
  <c r="C10" i="8" s="1"/>
  <c r="B7" i="8"/>
  <c r="C7" i="8" s="1"/>
  <c r="C11" i="7"/>
  <c r="C15" i="7" s="1"/>
  <c r="Q22" i="4"/>
  <c r="R22" i="4" s="1"/>
  <c r="Q25" i="6"/>
  <c r="Q25" i="5"/>
  <c r="R25" i="5" s="1"/>
  <c r="Q4" i="2"/>
  <c r="Q26" i="3"/>
  <c r="R26" i="3" s="1"/>
  <c r="Q27" i="2"/>
  <c r="R27" i="2" s="1"/>
  <c r="Q24" i="4"/>
  <c r="R24" i="4" s="1"/>
  <c r="Q4" i="4"/>
  <c r="Q27" i="6"/>
  <c r="R27" i="6" s="1"/>
  <c r="Q28" i="3"/>
  <c r="R28" i="3" s="1"/>
  <c r="B8" i="8"/>
  <c r="Q29" i="2"/>
  <c r="R29" i="2" s="1"/>
  <c r="Q26" i="4"/>
  <c r="R26" i="4" s="1"/>
  <c r="Q30" i="3"/>
  <c r="R30" i="3" s="1"/>
  <c r="Q4" i="6"/>
  <c r="Q29" i="5"/>
  <c r="R29" i="5" s="1"/>
  <c r="Q26" i="5"/>
  <c r="R26" i="5" s="1"/>
  <c r="Q4" i="3"/>
  <c r="Q27" i="3"/>
  <c r="R27" i="3" s="1"/>
  <c r="Q26" i="6"/>
  <c r="R26" i="6" s="1"/>
  <c r="Q26" i="2"/>
  <c r="R26" i="2" s="1"/>
  <c r="R25" i="6" l="1"/>
  <c r="C33" i="7"/>
  <c r="C29" i="7"/>
  <c r="B16" i="8"/>
  <c r="B19" i="8" s="1"/>
  <c r="C24" i="8"/>
  <c r="C33" i="8" s="1"/>
  <c r="C36" i="8" s="1"/>
  <c r="B33" i="8"/>
  <c r="B36" i="8" s="1"/>
  <c r="C8" i="8"/>
  <c r="C16" i="8" s="1"/>
  <c r="C19" i="8" s="1"/>
</calcChain>
</file>

<file path=xl/comments1.xml><?xml version="1.0" encoding="utf-8"?>
<comments xmlns="http://schemas.openxmlformats.org/spreadsheetml/2006/main">
  <authors>
    <author/>
  </authors>
  <commentList>
    <comment ref="B1" authorId="0">
      <text>
        <r>
          <rPr>
            <b/>
            <sz val="8"/>
            <color indexed="8"/>
            <rFont val="Tahoma"/>
            <family val="2"/>
          </rPr>
          <t>scrivi NOME menù</t>
        </r>
      </text>
    </comment>
    <comment ref="C6" authorId="0">
      <text>
        <r>
          <rPr>
            <b/>
            <sz val="8"/>
            <color indexed="8"/>
            <rFont val="Tahoma"/>
            <family val="2"/>
            <charset val="1"/>
          </rPr>
          <t xml:space="preserve">Scrivi le ore o porzioni di ora
</t>
        </r>
        <r>
          <rPr>
            <sz val="8"/>
            <color indexed="8"/>
            <rFont val="Tahoma"/>
            <family val="2"/>
            <charset val="1"/>
          </rPr>
          <t>su una giornata, in media</t>
        </r>
      </text>
    </comment>
    <comment ref="C27" authorId="0">
      <text>
        <r>
          <rPr>
            <b/>
            <sz val="8"/>
            <color indexed="8"/>
            <rFont val="Tahoma"/>
            <family val="2"/>
            <charset val="1"/>
          </rPr>
          <t>Attentione, il totale dev'essere 24 ore!</t>
        </r>
      </text>
    </comment>
    <comment ref="B29" authorId="0">
      <text>
        <r>
          <rPr>
            <b/>
            <sz val="8"/>
            <color indexed="8"/>
            <rFont val="Tahoma"/>
            <family val="2"/>
          </rPr>
          <t>Scrivi F o M</t>
        </r>
      </text>
    </comment>
    <comment ref="E29" authorId="0">
      <text>
        <r>
          <rPr>
            <b/>
            <sz val="8"/>
            <color indexed="8"/>
            <rFont val="Tahoma"/>
            <family val="2"/>
          </rPr>
          <t>Rispondi:  SI o NO</t>
        </r>
      </text>
    </comment>
    <comment ref="G29" authorId="0">
      <text>
        <r>
          <rPr>
            <b/>
            <sz val="8"/>
            <color indexed="8"/>
            <rFont val="Tahoma"/>
            <family val="2"/>
          </rPr>
          <t>Rispondi:  SI o NO</t>
        </r>
      </text>
    </comment>
    <comment ref="I29" authorId="0">
      <text>
        <r>
          <rPr>
            <b/>
            <sz val="8"/>
            <color indexed="8"/>
            <rFont val="Tahoma"/>
            <family val="2"/>
          </rPr>
          <t>Rispondi:  SI o NO</t>
        </r>
      </text>
    </comment>
  </commentList>
</comments>
</file>

<file path=xl/comments2.xml><?xml version="1.0" encoding="utf-8"?>
<comments xmlns="http://schemas.openxmlformats.org/spreadsheetml/2006/main">
  <authors>
    <author/>
    <author>Prof. A. Battistelli</author>
  </authors>
  <commentList>
    <comment ref="A1" authorId="0">
      <text>
        <r>
          <rPr>
            <sz val="8"/>
            <color indexed="8"/>
            <rFont val="Tahoma"/>
            <family val="2"/>
            <charset val="1"/>
          </rPr>
          <t xml:space="preserve">INSERISCI IL NUMERO DI PORZIONI O NUMERO DI ALIMENTI CONSUMATI
</t>
        </r>
      </text>
    </comment>
    <comment ref="A4" authorId="0">
      <text>
        <r>
          <rPr>
            <sz val="10"/>
            <rFont val="Arial"/>
            <family val="2"/>
          </rPr>
          <t>non zuccherato</t>
        </r>
      </text>
    </comment>
    <comment ref="A5" authorId="0">
      <text>
        <r>
          <rPr>
            <sz val="10"/>
            <rFont val="Arial"/>
            <family val="2"/>
          </rPr>
          <t>non zucchero</t>
        </r>
      </text>
    </comment>
    <comment ref="A8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10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11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27" authorId="0">
      <text>
        <r>
          <rPr>
            <sz val="8"/>
            <color indexed="8"/>
            <rFont val="Tahoma"/>
            <family val="2"/>
          </rPr>
          <t>non zuccherato</t>
        </r>
      </text>
    </comment>
    <comment ref="A38" authorId="0">
      <text>
        <r>
          <rPr>
            <b/>
            <sz val="8"/>
            <color indexed="8"/>
            <rFont val="Tahoma"/>
            <family val="2"/>
          </rPr>
          <t>1 zolletta di zucchero</t>
        </r>
      </text>
    </comment>
    <comment ref="A48" authorId="0">
      <text>
        <r>
          <rPr>
            <sz val="10"/>
            <rFont val="Arial"/>
            <family val="2"/>
          </rPr>
          <t>al tegame, burro compreso</t>
        </r>
      </text>
    </comment>
    <comment ref="A49" authorId="0">
      <text>
        <r>
          <rPr>
            <sz val="10"/>
            <rFont val="Arial"/>
            <family val="2"/>
          </rPr>
          <t xml:space="preserve">1 uovo medio= 70 g </t>
        </r>
      </text>
    </comment>
    <comment ref="A52" authorId="0">
      <text>
        <r>
          <rPr>
            <sz val="10"/>
            <rFont val="Arial"/>
            <family val="2"/>
          </rPr>
          <t>Nome alimento:</t>
        </r>
      </text>
    </comment>
    <comment ref="B52" authorId="0">
      <text>
        <r>
          <rPr>
            <sz val="10"/>
            <rFont val="Arial"/>
            <family val="2"/>
          </rPr>
          <t>G=</t>
        </r>
      </text>
    </comment>
    <comment ref="C52" authorId="0">
      <text>
        <r>
          <rPr>
            <sz val="10"/>
            <rFont val="Arial"/>
            <family val="2"/>
          </rPr>
          <t>L=?</t>
        </r>
      </text>
    </comment>
    <comment ref="D52" authorId="0">
      <text>
        <r>
          <rPr>
            <sz val="10"/>
            <rFont val="Arial"/>
            <family val="2"/>
          </rPr>
          <t>P=?</t>
        </r>
      </text>
    </comment>
    <comment ref="F52" authorId="0">
      <text>
        <r>
          <rPr>
            <sz val="10"/>
            <rFont val="Arial"/>
            <family val="2"/>
          </rPr>
          <t>Quantità d'acqua=?</t>
        </r>
      </text>
    </comment>
  </commentList>
</comments>
</file>

<file path=xl/comments3.xml><?xml version="1.0" encoding="utf-8"?>
<comments xmlns="http://schemas.openxmlformats.org/spreadsheetml/2006/main">
  <authors>
    <author/>
    <author>Prof. A. Battistelli</author>
  </authors>
  <commentList>
    <comment ref="A1" authorId="0">
      <text>
        <r>
          <rPr>
            <sz val="8"/>
            <color indexed="8"/>
            <rFont val="Tahoma"/>
            <family val="2"/>
            <charset val="1"/>
          </rPr>
          <t xml:space="preserve">INSERISCI IL NUMERO DI PORZIONI O NUMERO DI ALIMENTI CONSUMATI
</t>
        </r>
      </text>
    </comment>
    <comment ref="A5" authorId="0">
      <text>
        <r>
          <rPr>
            <sz val="10"/>
            <rFont val="Arial"/>
            <family val="2"/>
          </rPr>
          <t>non zuccherato</t>
        </r>
      </text>
    </comment>
    <comment ref="A9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12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57" authorId="0">
      <text>
        <r>
          <rPr>
            <sz val="8"/>
            <color indexed="8"/>
            <rFont val="Tahoma"/>
            <family val="2"/>
          </rPr>
          <t>non zuccherate</t>
        </r>
      </text>
    </comment>
    <comment ref="A142" authorId="0">
      <text>
        <r>
          <rPr>
            <sz val="10"/>
            <rFont val="Arial"/>
            <family val="2"/>
          </rPr>
          <t>1 uovomedio = 70 g in media</t>
        </r>
      </text>
    </comment>
    <comment ref="G149" authorId="0">
      <text>
        <r>
          <rPr>
            <b/>
            <sz val="8"/>
            <color indexed="8"/>
            <rFont val="Tahoma"/>
            <family val="2"/>
            <charset val="1"/>
          </rPr>
          <t>12 = 1 porzione</t>
        </r>
      </text>
    </comment>
    <comment ref="G156" authorId="0">
      <text>
        <r>
          <rPr>
            <b/>
            <sz val="8"/>
            <color indexed="8"/>
            <rFont val="Tahoma"/>
            <family val="2"/>
            <charset val="1"/>
          </rPr>
          <t>numero di cucchiai</t>
        </r>
      </text>
    </comment>
    <comment ref="G165" authorId="0">
      <text>
        <r>
          <rPr>
            <sz val="8"/>
            <color indexed="8"/>
            <rFont val="Tahoma"/>
            <family val="2"/>
            <charset val="1"/>
          </rPr>
          <t>1 pizza completa = 3 fette</t>
        </r>
      </text>
    </comment>
    <comment ref="B175" authorId="0">
      <text>
        <r>
          <rPr>
            <sz val="10"/>
            <rFont val="Arial"/>
            <family val="2"/>
          </rPr>
          <t>G=</t>
        </r>
      </text>
    </comment>
    <comment ref="C175" authorId="0">
      <text>
        <r>
          <rPr>
            <sz val="10"/>
            <rFont val="Arial"/>
            <family val="2"/>
          </rPr>
          <t>L=?</t>
        </r>
      </text>
    </comment>
    <comment ref="D175" authorId="0">
      <text>
        <r>
          <rPr>
            <sz val="10"/>
            <rFont val="Arial"/>
            <family val="2"/>
          </rPr>
          <t>P=?</t>
        </r>
      </text>
    </comment>
    <comment ref="F175" authorId="0">
      <text>
        <r>
          <rPr>
            <sz val="10"/>
            <rFont val="Arial"/>
            <family val="2"/>
          </rPr>
          <t>Quantità d'acqua=?</t>
        </r>
      </text>
    </comment>
  </commentList>
</comments>
</file>

<file path=xl/comments4.xml><?xml version="1.0" encoding="utf-8"?>
<comments xmlns="http://schemas.openxmlformats.org/spreadsheetml/2006/main">
  <authors>
    <author/>
    <author>Prof. A. Battistelli</author>
  </authors>
  <commentList>
    <comment ref="A1" authorId="0">
      <text>
        <r>
          <rPr>
            <sz val="8"/>
            <color indexed="8"/>
            <rFont val="Tahoma"/>
            <family val="2"/>
            <charset val="1"/>
          </rPr>
          <t xml:space="preserve">INSERISCI IL NUMERO DI PORZIONI O NUMERO DI ALIMENTI CONSUMATI
</t>
        </r>
      </text>
    </comment>
    <comment ref="A5" authorId="0">
      <text>
        <r>
          <rPr>
            <sz val="10"/>
            <rFont val="Arial"/>
            <family val="2"/>
          </rPr>
          <t>non zuccherato</t>
        </r>
      </text>
    </comment>
    <comment ref="A9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10" authorId="1">
      <text>
        <r>
          <rPr>
            <b/>
            <sz val="9"/>
            <color indexed="81"/>
            <rFont val="Tahoma"/>
            <charset val="1"/>
          </rPr>
          <t>senza zucchero</t>
        </r>
      </text>
    </comment>
    <comment ref="A11" authorId="1">
      <text>
        <r>
          <rPr>
            <b/>
            <sz val="9"/>
            <color indexed="81"/>
            <rFont val="Tahoma"/>
            <charset val="1"/>
          </rPr>
          <t>con zucchero</t>
        </r>
      </text>
    </comment>
    <comment ref="A12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36" authorId="0">
      <text>
        <r>
          <rPr>
            <sz val="8"/>
            <color indexed="8"/>
            <rFont val="Tahoma"/>
            <family val="2"/>
          </rPr>
          <t>non zuccherate</t>
        </r>
      </text>
    </comment>
    <comment ref="G67" authorId="0">
      <text>
        <r>
          <rPr>
            <b/>
            <sz val="8"/>
            <color indexed="8"/>
            <rFont val="Tahoma"/>
            <family val="2"/>
            <charset val="1"/>
          </rPr>
          <t>Nombre
numero</t>
        </r>
      </text>
    </comment>
    <comment ref="G84" authorId="0">
      <text>
        <r>
          <rPr>
            <sz val="8"/>
            <color indexed="8"/>
            <rFont val="Tahoma"/>
            <family val="2"/>
            <charset val="1"/>
          </rPr>
          <t>1 pizza completa = 3 fette</t>
        </r>
      </text>
    </comment>
    <comment ref="B88" authorId="0">
      <text>
        <r>
          <rPr>
            <sz val="10"/>
            <rFont val="Arial"/>
            <family val="2"/>
          </rPr>
          <t>G=</t>
        </r>
      </text>
    </comment>
    <comment ref="C88" authorId="0">
      <text>
        <r>
          <rPr>
            <sz val="10"/>
            <rFont val="Arial"/>
            <family val="2"/>
          </rPr>
          <t>L=?</t>
        </r>
      </text>
    </comment>
    <comment ref="D88" authorId="0">
      <text>
        <r>
          <rPr>
            <sz val="10"/>
            <rFont val="Arial"/>
            <family val="2"/>
          </rPr>
          <t>P=?</t>
        </r>
      </text>
    </comment>
    <comment ref="F88" authorId="0">
      <text>
        <r>
          <rPr>
            <sz val="10"/>
            <rFont val="Arial"/>
            <family val="2"/>
          </rPr>
          <t>Quantità d'acqua?</t>
        </r>
      </text>
    </comment>
  </commentList>
</comments>
</file>

<file path=xl/comments5.xml><?xml version="1.0" encoding="utf-8"?>
<comments xmlns="http://schemas.openxmlformats.org/spreadsheetml/2006/main">
  <authors>
    <author/>
    <author>Prof. A. Battistelli</author>
  </authors>
  <commentList>
    <comment ref="A1" authorId="0">
      <text>
        <r>
          <rPr>
            <sz val="8"/>
            <color indexed="8"/>
            <rFont val="Tahoma"/>
            <family val="2"/>
            <charset val="1"/>
          </rPr>
          <t xml:space="preserve">INSERISCI IL NUMERO DI PORZIONI O NUMERO DI ALIMENTI CONSUMATI
</t>
        </r>
      </text>
    </comment>
    <comment ref="A5" authorId="0">
      <text>
        <r>
          <rPr>
            <sz val="10"/>
            <rFont val="Arial"/>
            <family val="2"/>
          </rPr>
          <t>non zuccherato</t>
        </r>
      </text>
    </comment>
    <comment ref="A9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11" authorId="1">
      <text>
        <r>
          <rPr>
            <b/>
            <sz val="9"/>
            <color indexed="81"/>
            <rFont val="Tahoma"/>
            <charset val="1"/>
          </rPr>
          <t>con zucchero</t>
        </r>
      </text>
    </comment>
    <comment ref="A12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36" authorId="0">
      <text>
        <r>
          <rPr>
            <sz val="8"/>
            <color indexed="8"/>
            <rFont val="Tahoma"/>
            <family val="2"/>
          </rPr>
          <t>non zuccherate</t>
        </r>
      </text>
    </comment>
    <comment ref="G67" authorId="0">
      <text>
        <r>
          <rPr>
            <b/>
            <sz val="8"/>
            <color indexed="8"/>
            <rFont val="Tahoma"/>
            <family val="2"/>
            <charset val="1"/>
          </rPr>
          <t>Nombre
numero</t>
        </r>
      </text>
    </comment>
    <comment ref="B82" authorId="0">
      <text>
        <r>
          <rPr>
            <sz val="10"/>
            <rFont val="Arial"/>
            <family val="2"/>
          </rPr>
          <t>G=</t>
        </r>
      </text>
    </comment>
    <comment ref="C82" authorId="0">
      <text>
        <r>
          <rPr>
            <sz val="10"/>
            <rFont val="Arial"/>
            <family val="2"/>
          </rPr>
          <t>L=?</t>
        </r>
      </text>
    </comment>
    <comment ref="D82" authorId="0">
      <text>
        <r>
          <rPr>
            <sz val="10"/>
            <rFont val="Arial"/>
            <family val="2"/>
          </rPr>
          <t>P=?</t>
        </r>
      </text>
    </comment>
    <comment ref="F82" authorId="0">
      <text>
        <r>
          <rPr>
            <sz val="10"/>
            <rFont val="Arial"/>
            <family val="2"/>
          </rPr>
          <t>Quantità d'acqua?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1" authorId="0">
      <text>
        <r>
          <rPr>
            <sz val="8"/>
            <color indexed="8"/>
            <rFont val="Tahoma"/>
            <family val="2"/>
            <charset val="1"/>
          </rPr>
          <t xml:space="preserve">INSERISCI IL NUMERO DI PORZIONI O NUMERO DI ALIMENTI CONSUMATI
</t>
        </r>
      </text>
    </comment>
    <comment ref="A5" authorId="0">
      <text>
        <r>
          <rPr>
            <sz val="10"/>
            <rFont val="Arial"/>
            <family val="2"/>
          </rPr>
          <t>non zuccherato</t>
        </r>
      </text>
    </comment>
    <comment ref="A57" authorId="0">
      <text>
        <r>
          <rPr>
            <sz val="8"/>
            <color indexed="8"/>
            <rFont val="Tahoma"/>
            <family val="2"/>
          </rPr>
          <t>non zuccherate</t>
        </r>
      </text>
    </comment>
    <comment ref="G110" authorId="0">
      <text>
        <r>
          <rPr>
            <b/>
            <sz val="8"/>
            <color indexed="8"/>
            <rFont val="Tahoma"/>
            <family val="2"/>
            <charset val="1"/>
          </rPr>
          <t>Nombre
numero</t>
        </r>
      </text>
    </comment>
    <comment ref="A142" authorId="0">
      <text>
        <r>
          <rPr>
            <sz val="10"/>
            <rFont val="Arial"/>
            <family val="2"/>
          </rPr>
          <t>1 uovomedio = 70 g in media</t>
        </r>
      </text>
    </comment>
    <comment ref="G144" authorId="0">
      <text>
        <r>
          <rPr>
            <b/>
            <sz val="8"/>
            <color indexed="8"/>
            <rFont val="Tahoma"/>
            <family val="2"/>
            <charset val="1"/>
          </rPr>
          <t xml:space="preserve">nombre
</t>
        </r>
      </text>
    </comment>
    <comment ref="G149" authorId="0">
      <text>
        <r>
          <rPr>
            <b/>
            <sz val="8"/>
            <color indexed="8"/>
            <rFont val="Tahoma"/>
            <family val="2"/>
            <charset val="1"/>
          </rPr>
          <t>12 huitres = 1 portion</t>
        </r>
      </text>
    </comment>
    <comment ref="G150" authorId="0">
      <text>
        <r>
          <rPr>
            <b/>
            <sz val="8"/>
            <color indexed="8"/>
            <rFont val="Tahoma"/>
            <family val="2"/>
            <charset val="1"/>
          </rPr>
          <t>nombre</t>
        </r>
      </text>
    </comment>
    <comment ref="G156" authorId="0">
      <text>
        <r>
          <rPr>
            <b/>
            <sz val="8"/>
            <color indexed="8"/>
            <rFont val="Tahoma"/>
            <family val="2"/>
            <charset val="1"/>
          </rPr>
          <t>numero di cucchiai</t>
        </r>
      </text>
    </comment>
    <comment ref="G165" authorId="0">
      <text>
        <r>
          <rPr>
            <sz val="8"/>
            <color indexed="8"/>
            <rFont val="Tahoma"/>
            <family val="2"/>
            <charset val="1"/>
          </rPr>
          <t>1 pizza completa = 3 fette</t>
        </r>
      </text>
    </comment>
    <comment ref="B175" authorId="0">
      <text>
        <r>
          <rPr>
            <sz val="10"/>
            <rFont val="Arial"/>
            <family val="2"/>
          </rPr>
          <t>G=</t>
        </r>
      </text>
    </comment>
    <comment ref="C175" authorId="0">
      <text>
        <r>
          <rPr>
            <sz val="10"/>
            <rFont val="Arial"/>
            <family val="2"/>
          </rPr>
          <t>L=?</t>
        </r>
      </text>
    </comment>
    <comment ref="D175" authorId="0">
      <text>
        <r>
          <rPr>
            <sz val="10"/>
            <rFont val="Arial"/>
            <family val="2"/>
          </rPr>
          <t>P=?</t>
        </r>
      </text>
    </comment>
    <comment ref="F175" authorId="0">
      <text>
        <r>
          <rPr>
            <sz val="10"/>
            <rFont val="Arial"/>
            <family val="2"/>
          </rPr>
          <t>Quantità d'acqua=?</t>
        </r>
      </text>
    </comment>
  </commentList>
</comments>
</file>

<file path=xl/sharedStrings.xml><?xml version="1.0" encoding="utf-8"?>
<sst xmlns="http://schemas.openxmlformats.org/spreadsheetml/2006/main" count="1504" uniqueCount="699">
  <si>
    <t>LUN</t>
  </si>
  <si>
    <t>MAR</t>
  </si>
  <si>
    <t>MER</t>
  </si>
  <si>
    <t>VEN</t>
  </si>
  <si>
    <t>tennis</t>
  </si>
  <si>
    <t>kJ</t>
  </si>
  <si>
    <t>------&gt;</t>
  </si>
  <si>
    <t>calcul des coeff :</t>
  </si>
  <si>
    <t>G</t>
  </si>
  <si>
    <t>L</t>
  </si>
  <si>
    <t>P</t>
  </si>
  <si>
    <t>banane (1)</t>
  </si>
  <si>
    <t>g</t>
  </si>
  <si>
    <t>kiwi (1)</t>
  </si>
  <si>
    <t>œuf au plat ss MG</t>
  </si>
  <si>
    <t>G=</t>
  </si>
  <si>
    <t>L=</t>
  </si>
  <si>
    <t>P=</t>
  </si>
  <si>
    <t>M</t>
  </si>
  <si>
    <t>dormire</t>
  </si>
  <si>
    <t>lavarsi</t>
  </si>
  <si>
    <t>Attività</t>
  </si>
  <si>
    <t>Cognome</t>
  </si>
  <si>
    <t>Nome</t>
  </si>
  <si>
    <t>Calcolo del consumo energetico</t>
  </si>
  <si>
    <t>Numero di ore per ciascuna attività</t>
  </si>
  <si>
    <t>seduto (mangiare)</t>
  </si>
  <si>
    <t>seduto (TV)</t>
  </si>
  <si>
    <t>seduto (computer)</t>
  </si>
  <si>
    <t>seduto (lettura)</t>
  </si>
  <si>
    <t>lavori domestici</t>
  </si>
  <si>
    <t>camminare</t>
  </si>
  <si>
    <t>dispendio</t>
  </si>
  <si>
    <t>medio in kJ</t>
  </si>
  <si>
    <t>ore in</t>
  </si>
  <si>
    <t>media</t>
  </si>
  <si>
    <t>EQUILIBRIO DEL TIPO DI ALIMENTI</t>
  </si>
  <si>
    <t>CATEGORIE</t>
  </si>
  <si>
    <t>Frutta e verdura</t>
  </si>
  <si>
    <t>Latticini</t>
  </si>
  <si>
    <t>Grassi</t>
  </si>
  <si>
    <t>Bilancio dell'alimentazione per categorie alimentari</t>
  </si>
  <si>
    <t>BILANCIO ALIMENTARE</t>
  </si>
  <si>
    <t>CALCOLO DELLA RAZIONE NECESSARIA</t>
  </si>
  <si>
    <t>Indice dI Massa Corporale (IMC)</t>
  </si>
  <si>
    <t>IMC = peso/altezza x altezza</t>
  </si>
  <si>
    <t>magrezza</t>
  </si>
  <si>
    <t>normale</t>
  </si>
  <si>
    <t>obesità</t>
  </si>
  <si>
    <t>alta obesità</t>
  </si>
  <si>
    <t>Ripartizione nella giornata</t>
  </si>
  <si>
    <t>Comparazione della razione necessaria ed assunta</t>
  </si>
  <si>
    <t>CALCOLO DELLA RAZIONE ASSUNTA</t>
  </si>
  <si>
    <t>sovrappeso</t>
  </si>
  <si>
    <t>CENA</t>
  </si>
  <si>
    <t>Apporto pranzo:</t>
  </si>
  <si>
    <t>Ripartizione glucidi, lipidi e protidi</t>
  </si>
  <si>
    <t>Quantità d'acqua apportata</t>
  </si>
  <si>
    <t xml:space="preserve">di : </t>
  </si>
  <si>
    <t>Colazione</t>
  </si>
  <si>
    <t>Pranzo</t>
  </si>
  <si>
    <t>Merenda</t>
  </si>
  <si>
    <t>Spuntino</t>
  </si>
  <si>
    <t>Cena</t>
  </si>
  <si>
    <t>MERENDA</t>
  </si>
  <si>
    <t>Apporto merenda:</t>
  </si>
  <si>
    <t>Qunatità di acqua apportata</t>
  </si>
  <si>
    <t xml:space="preserve">o di: </t>
  </si>
  <si>
    <t>Carni e pesci</t>
  </si>
  <si>
    <t>Apporto spuntino:</t>
  </si>
  <si>
    <t>SPUNTINO</t>
  </si>
  <si>
    <t>PRANZO</t>
  </si>
  <si>
    <t>Approto pranzo:</t>
  </si>
  <si>
    <t>o di</t>
  </si>
  <si>
    <t>grammi</t>
  </si>
  <si>
    <t>litri</t>
  </si>
  <si>
    <t>COLAZIONE</t>
  </si>
  <si>
    <t>Apporto colazione</t>
  </si>
  <si>
    <t>Ripartizione glucidi, lipidi, protidi</t>
  </si>
  <si>
    <t>Ripartizione della razione energetica nella giornata</t>
  </si>
  <si>
    <t xml:space="preserve">Ripartizione della razione energetica nella giornata </t>
  </si>
  <si>
    <t xml:space="preserve">glucidi </t>
  </si>
  <si>
    <t xml:space="preserve">lipidi </t>
  </si>
  <si>
    <t xml:space="preserve">protidi </t>
  </si>
  <si>
    <t>Equilibrio consigliato:</t>
  </si>
  <si>
    <t xml:space="preserve"> F/M :</t>
  </si>
  <si>
    <t>Scrivi la duata</t>
  </si>
  <si>
    <t>in minuti</t>
  </si>
  <si>
    <t>Conversione minuti in porzioni di ore</t>
  </si>
  <si>
    <t>MINUTI</t>
  </si>
  <si>
    <t>ORE</t>
  </si>
  <si>
    <t>ETA'</t>
  </si>
  <si>
    <t>&lt;11 anni</t>
  </si>
  <si>
    <t>11-15 anni</t>
  </si>
  <si>
    <t>&gt;15 anni</t>
  </si>
  <si>
    <t>supplemento:</t>
  </si>
  <si>
    <t>videogioco</t>
  </si>
  <si>
    <t>pallavolo</t>
  </si>
  <si>
    <t>Dispendio</t>
  </si>
  <si>
    <t>energetico</t>
  </si>
  <si>
    <t>per 1 h (in kJ)</t>
  </si>
  <si>
    <t>BEVANDE</t>
  </si>
  <si>
    <t>CEREALI, PANE, BRIOCHE, BISCOTTI</t>
  </si>
  <si>
    <t>(caselle da lasciare in bianco)</t>
  </si>
  <si>
    <t>Peso di una porzione standard</t>
  </si>
  <si>
    <t>TOTALE:</t>
  </si>
  <si>
    <t>café/orzo (1 tazza)</t>
  </si>
  <si>
    <t>cioccolato al latte (1 tazza)</t>
  </si>
  <si>
    <t>coca (lattina)</t>
  </si>
  <si>
    <t>acqua (1 bicchiere)</t>
  </si>
  <si>
    <t>succo di frutta (1 bicchiere)</t>
  </si>
  <si>
    <t>succo d'ananas (1 bicchiere)</t>
  </si>
  <si>
    <t>FRUTTA</t>
  </si>
  <si>
    <t>DOLCI, MARMELLATA</t>
  </si>
  <si>
    <t>marmellata (1 cucchiaio)</t>
  </si>
  <si>
    <t>LATTE E LATTICINI</t>
  </si>
  <si>
    <t>UOVA, SALUMI</t>
  </si>
  <si>
    <t>Acqua</t>
  </si>
  <si>
    <t>Scrivi:</t>
  </si>
  <si>
    <t>albicocche secche (3)</t>
  </si>
  <si>
    <t>fette biscottate (1)</t>
  </si>
  <si>
    <t>cereali al cioccolato</t>
  </si>
  <si>
    <t>pane al latte(1)</t>
  </si>
  <si>
    <t>pane all'uva (1)</t>
  </si>
  <si>
    <t>pane bianco (1 fetta)</t>
  </si>
  <si>
    <t>fragole (1 porzione)</t>
  </si>
  <si>
    <t>albicocche/prugne secche (3)</t>
  </si>
  <si>
    <t>mela (1 media)</t>
  </si>
  <si>
    <t>pera (1 media)</t>
  </si>
  <si>
    <t>pesca (1 media)</t>
  </si>
  <si>
    <t>arancia (1 media)</t>
  </si>
  <si>
    <t>crema spalmabile al cioccolato</t>
  </si>
  <si>
    <t>dolcetti (1 porzione)</t>
  </si>
  <si>
    <t>zucchero (1 zolletta)</t>
  </si>
  <si>
    <t>latte parz. Scremato (1 bicchiere)</t>
  </si>
  <si>
    <t>latte scremato (1 bicchiere)</t>
  </si>
  <si>
    <t>yogourt (1 vasetto)</t>
  </si>
  <si>
    <t>salumi (1 porzione)</t>
  </si>
  <si>
    <t>(inserisci la quantità &gt;&gt;)</t>
  </si>
  <si>
    <t>porzioni</t>
  </si>
  <si>
    <t>Quantità/</t>
  </si>
  <si>
    <t xml:space="preserve">               g/100g</t>
  </si>
  <si>
    <t xml:space="preserve"> g/100g</t>
  </si>
  <si>
    <t>Energia</t>
  </si>
  <si>
    <t>Fibre</t>
  </si>
  <si>
    <t>acqua</t>
  </si>
  <si>
    <t>calcio /basket</t>
  </si>
  <si>
    <t>stare in piedi</t>
  </si>
  <si>
    <t>Totale (=24h)</t>
  </si>
  <si>
    <t>seduto (studio)</t>
  </si>
  <si>
    <t>NO</t>
  </si>
  <si>
    <t>SI</t>
  </si>
  <si>
    <t>CALCOLATORE EXCEL DELL'APPORTO ALIMENTARE NECESSARIO</t>
  </si>
  <si>
    <t>Porzione</t>
  </si>
  <si>
    <t>panino base Mac Donald</t>
  </si>
  <si>
    <t>grassi animali</t>
  </si>
  <si>
    <t>salsa vinaigrette</t>
  </si>
  <si>
    <t>besciamella</t>
  </si>
  <si>
    <t>Piatti pronti</t>
  </si>
  <si>
    <t>Latte e latticini</t>
  </si>
  <si>
    <t>Bevande</t>
  </si>
  <si>
    <t>cappuccio (1 tazza)</t>
  </si>
  <si>
    <t>caffé (1 tazza)</t>
  </si>
  <si>
    <t>acqua gassata (1 bicchiere)</t>
  </si>
  <si>
    <t>acqua liscia (1 bicchiere)</t>
  </si>
  <si>
    <t>Limonata/aranciata (1 bicchiere)</t>
  </si>
  <si>
    <t>thé (1 tazza)</t>
  </si>
  <si>
    <t>cocktail soda/alcool</t>
  </si>
  <si>
    <t>birra qq gradi d'alccol</t>
  </si>
  <si>
    <t>liquori 40° o più</t>
  </si>
  <si>
    <t>vino da 10° a 14° circa</t>
  </si>
  <si>
    <t>vino cotto (14° - 20°)</t>
  </si>
  <si>
    <t>whisky e simili(45°)</t>
  </si>
  <si>
    <t>Bevande alcoliche</t>
  </si>
  <si>
    <t>alcool puro</t>
  </si>
  <si>
    <t>Quantità d'alcool puro(in g) -----&gt;&gt;&gt;</t>
  </si>
  <si>
    <t>pane abbrustolito</t>
  </si>
  <si>
    <t>pane integrale (senza zucchero)</t>
  </si>
  <si>
    <t>fetta biscottata (1)</t>
  </si>
  <si>
    <t>mais in grani</t>
  </si>
  <si>
    <t>mais + salsa</t>
  </si>
  <si>
    <t>datteri (1)</t>
  </si>
  <si>
    <t>fichi secchi</t>
  </si>
  <si>
    <t>Patate fritte (1 porzione)</t>
  </si>
  <si>
    <t>patate al burro</t>
  </si>
  <si>
    <t>patate bollite</t>
  </si>
  <si>
    <t>riso bianco (cotto)</t>
  </si>
  <si>
    <t>riso bianco al burro</t>
  </si>
  <si>
    <t>ananas in scatola</t>
  </si>
  <si>
    <t>albicocche fresche (1)</t>
  </si>
  <si>
    <t>focaccia (100 gr)</t>
  </si>
  <si>
    <t>sorbetto</t>
  </si>
  <si>
    <t>insalata di riso (100 gr)</t>
  </si>
  <si>
    <t>brioche cornetto (1)</t>
  </si>
  <si>
    <t>biscotti (1)</t>
  </si>
  <si>
    <t>brioche al cioccolato(1)</t>
  </si>
  <si>
    <t>polenta (200 gr)</t>
  </si>
  <si>
    <t>sofficini al formaggio</t>
  </si>
  <si>
    <t>wurstel (100 gr)</t>
  </si>
  <si>
    <t>wurstel di  pollo (100 gr)</t>
  </si>
  <si>
    <t>fagioli secchi cotti (200 gr)</t>
  </si>
  <si>
    <t xml:space="preserve">ceci secchi </t>
  </si>
  <si>
    <t>gelato fior di latte</t>
  </si>
  <si>
    <t>lenticchie cotte</t>
  </si>
  <si>
    <t>arachidi salate (30 gr)</t>
  </si>
  <si>
    <t>noci secche (30 gr)</t>
  </si>
  <si>
    <t>pistacchi salati (30 gr)</t>
  </si>
  <si>
    <t>cassoeula</t>
  </si>
  <si>
    <t>tortellini freschi</t>
  </si>
  <si>
    <t>torta salata (1 porzione)</t>
  </si>
  <si>
    <t>pizza (1 fetta=1/3 di 1 intera)</t>
  </si>
  <si>
    <t>pasta cotta al burro (80 gr pasta)</t>
  </si>
  <si>
    <t>pasta pomodoro+grana (80 gr pasta)</t>
  </si>
  <si>
    <t xml:space="preserve">pasta all'uovo </t>
  </si>
  <si>
    <t>ragù (30 gr)</t>
  </si>
  <si>
    <t>ketchup (10 gr)</t>
  </si>
  <si>
    <t>maionese (15 gr)</t>
  </si>
  <si>
    <t>margarina (10 gr)</t>
  </si>
  <si>
    <t>burro (10 gr)</t>
  </si>
  <si>
    <t>riso integrale</t>
  </si>
  <si>
    <t>coniglio</t>
  </si>
  <si>
    <t>bistecca</t>
  </si>
  <si>
    <t>arrosto in salsa</t>
  </si>
  <si>
    <t>anatra</t>
  </si>
  <si>
    <t>salumeria (1)</t>
  </si>
  <si>
    <t>oca</t>
  </si>
  <si>
    <t>prosciutto cotto (1)</t>
  </si>
  <si>
    <t>maiale</t>
  </si>
  <si>
    <t>pollo</t>
  </si>
  <si>
    <t>salsicce (1)</t>
  </si>
  <si>
    <t>salame (1 fettina)</t>
  </si>
  <si>
    <t>agnello (1 cotoletta)</t>
  </si>
  <si>
    <t>vitello (1 scaloppina)</t>
  </si>
  <si>
    <t>uovo (1)</t>
  </si>
  <si>
    <t>uovo al tegamino al burro (1)</t>
  </si>
  <si>
    <t>gamberetti</t>
  </si>
  <si>
    <t>ostriche (6)</t>
  </si>
  <si>
    <t>sardine all'olio (2)</t>
  </si>
  <si>
    <t>salmone</t>
  </si>
  <si>
    <t>trota</t>
  </si>
  <si>
    <t>sardine fresche (1)</t>
  </si>
  <si>
    <t>orata</t>
  </si>
  <si>
    <t>merluzzo</t>
  </si>
  <si>
    <t>cozze (150 gr)</t>
  </si>
  <si>
    <t>torta (1 fettina)</t>
  </si>
  <si>
    <t>Crostata (1 fetta)</t>
  </si>
  <si>
    <t>uovo sodo o alla coque(1)</t>
  </si>
  <si>
    <t>uovo al tegamino, al burro(1)</t>
  </si>
  <si>
    <t>prosciutto cotto (1 porzione)</t>
  </si>
  <si>
    <t>ananas fresco (porzione)</t>
  </si>
  <si>
    <t>clementine (1)</t>
  </si>
  <si>
    <t>fichi freschi (1)</t>
  </si>
  <si>
    <t>biscotti secchi (1)</t>
  </si>
  <si>
    <t>torta (1 porzione)</t>
  </si>
  <si>
    <t>dolcetti al cioccolato chocolat</t>
  </si>
  <si>
    <t>gealto al cioccolato</t>
  </si>
  <si>
    <t>torta alla frutta leggera</t>
  </si>
  <si>
    <t>torta alle mele</t>
  </si>
  <si>
    <t>crostata</t>
  </si>
  <si>
    <t>cioccolato al latte (quadratino)</t>
  </si>
  <si>
    <t>cioccolato nero (quadratino)</t>
  </si>
  <si>
    <t>zolletta di zucchero</t>
  </si>
  <si>
    <t>gruviera</t>
  </si>
  <si>
    <t>formaggio mezzo stagionato</t>
  </si>
  <si>
    <t>formaggio stagionato</t>
  </si>
  <si>
    <t>formaggio di capra</t>
  </si>
  <si>
    <t>formaggino (1)</t>
  </si>
  <si>
    <t>yogurt alla frutta (1)</t>
  </si>
  <si>
    <t>yaourt magro (1)</t>
  </si>
  <si>
    <t>gorgonzola</t>
  </si>
  <si>
    <t>ricotta</t>
  </si>
  <si>
    <t>ricotta magra 0%</t>
  </si>
  <si>
    <t>ricotta con panna</t>
  </si>
  <si>
    <t>panna (30 gr)</t>
  </si>
  <si>
    <t>parmigiano</t>
  </si>
  <si>
    <t>mozzarella</t>
  </si>
  <si>
    <t>formaggino fresco light</t>
  </si>
  <si>
    <t>panino prosciutto e burro (1)</t>
  </si>
  <si>
    <t>panino prosciutto e formaggio (1)</t>
  </si>
  <si>
    <t>frittata (2 uova+burro)</t>
  </si>
  <si>
    <t>funghi sott'olio (30 gr)</t>
  </si>
  <si>
    <t xml:space="preserve">TOTALE: </t>
  </si>
  <si>
    <t>peso di una porzione:</t>
  </si>
  <si>
    <t>Olio, grasso, sughi e salse</t>
  </si>
  <si>
    <t>Olii, grassi, sughi e salse</t>
  </si>
  <si>
    <t>Carni, pesci, uova</t>
  </si>
  <si>
    <t>mirtilli (portion)</t>
  </si>
  <si>
    <t>arance nettarine (1)</t>
  </si>
  <si>
    <t>arancia</t>
  </si>
  <si>
    <t>1/2 pompelmo</t>
  </si>
  <si>
    <t>pesca</t>
  </si>
  <si>
    <t>pera</t>
  </si>
  <si>
    <t>mela</t>
  </si>
  <si>
    <t>uva (piccolo grappolo)</t>
  </si>
  <si>
    <t>1/2 avocado</t>
  </si>
  <si>
    <t>funghi</t>
  </si>
  <si>
    <t>insalata verde</t>
  </si>
  <si>
    <t>insalata verde + condimento</t>
  </si>
  <si>
    <t>pomodori</t>
  </si>
  <si>
    <t>cavolo cotto</t>
  </si>
  <si>
    <t>zucchine</t>
  </si>
  <si>
    <t>spinaci</t>
  </si>
  <si>
    <t>piselli</t>
  </si>
  <si>
    <t>fagiolini</t>
  </si>
  <si>
    <t>fagiolini al burro</t>
  </si>
  <si>
    <t>radicchio</t>
  </si>
  <si>
    <t>radicchio + burro</t>
  </si>
  <si>
    <t>asparagi</t>
  </si>
  <si>
    <t>melone</t>
  </si>
  <si>
    <t>verza cotta</t>
  </si>
  <si>
    <t>lasagne pronte, congelate</t>
  </si>
  <si>
    <t>nella lista scrivilo qui sotto:</t>
  </si>
  <si>
    <t xml:space="preserve">Se non trovi un alimento </t>
  </si>
  <si>
    <t>Se non trovi un alimento</t>
  </si>
  <si>
    <t>tiramisù</t>
  </si>
  <si>
    <t>Frutta, verdura e legumi</t>
  </si>
  <si>
    <t>Cereali, patate e frutta secca</t>
  </si>
  <si>
    <t>Quantità d'alcool puro (in g) ------&gt;&gt;</t>
  </si>
  <si>
    <t>pane (1 fetta)</t>
  </si>
  <si>
    <t>1 fettapane (</t>
  </si>
  <si>
    <t>fichi secchi (1)</t>
  </si>
  <si>
    <t>ciliege (1 manciata)</t>
  </si>
  <si>
    <t>fragole fresche (1 porzione)</t>
  </si>
  <si>
    <t>asparagi + salsa</t>
  </si>
  <si>
    <t>mirtilli (porzione)</t>
  </si>
  <si>
    <t>insalata indivia</t>
  </si>
  <si>
    <t xml:space="preserve">Cereali, patate e frutta secca </t>
  </si>
  <si>
    <t>Frutta</t>
  </si>
  <si>
    <t>Dolci e marmellate</t>
  </si>
  <si>
    <t>frutta sciroppata</t>
  </si>
  <si>
    <t>albicocche (1)</t>
  </si>
  <si>
    <t>ananas fresco (1 porzione)</t>
  </si>
  <si>
    <t>banana (1)</t>
  </si>
  <si>
    <t>mirtilli (1 porzione)</t>
  </si>
  <si>
    <t>arancia nettarina (1)</t>
  </si>
  <si>
    <t>arancia (1)</t>
  </si>
  <si>
    <t>carote crude</t>
  </si>
  <si>
    <t>carote + salsa</t>
  </si>
  <si>
    <t>patate fritte (1 porzione)</t>
  </si>
  <si>
    <t>patate fritte (1 porz.) no in busta</t>
  </si>
  <si>
    <t>Cereali, frutta secca ed essiccata</t>
  </si>
  <si>
    <t>kj</t>
  </si>
  <si>
    <t>kcal</t>
  </si>
  <si>
    <t>peso</t>
  </si>
  <si>
    <t>altezza</t>
  </si>
  <si>
    <t>IMC</t>
  </si>
  <si>
    <t xml:space="preserve">kJ </t>
  </si>
  <si>
    <t>Legumi</t>
  </si>
  <si>
    <t>Cereali</t>
  </si>
  <si>
    <t>latte intero (1 bicchiere)</t>
  </si>
  <si>
    <t>yogurt intero (1)</t>
  </si>
  <si>
    <t>yogurt magro (1)</t>
  </si>
  <si>
    <t>Carne, pesce, uova</t>
  </si>
  <si>
    <t>Calorie assunte</t>
  </si>
  <si>
    <t>Equilibrio</t>
  </si>
  <si>
    <t>besciamella (30 gr)</t>
  </si>
  <si>
    <t>pastina in minestra (50 gr)</t>
  </si>
  <si>
    <t>Dolci</t>
  </si>
  <si>
    <t xml:space="preserve">olio (15 gr = 1 cucchiaio) </t>
  </si>
  <si>
    <t>Zuccheri aggiunti</t>
  </si>
  <si>
    <t>limonata/aranciata (1 bicchiere)</t>
  </si>
  <si>
    <t>Alcool</t>
  </si>
  <si>
    <t>Grassi aggiunti</t>
  </si>
  <si>
    <t>burro (1 porzione)</t>
  </si>
  <si>
    <t>spremuta d'arancio (1 bicchiere)</t>
  </si>
  <si>
    <t>spremuta di arancia (1 bicchiere)</t>
  </si>
  <si>
    <t>Cereali e tuberi</t>
  </si>
  <si>
    <t>settimanale</t>
  </si>
  <si>
    <t xml:space="preserve">Dispendio energetico totale per 24h e 7 giorni in kj &gt;&gt; </t>
  </si>
  <si>
    <t>Dispendio energetico 24 h</t>
  </si>
  <si>
    <t>Dispendio energetico 7 giorni</t>
  </si>
  <si>
    <t>EQUILIBRIO GIORNALIERO</t>
  </si>
  <si>
    <t>EQUILIBRIO SETTIMANALE</t>
  </si>
  <si>
    <t>Prof. A. Battistelli</t>
  </si>
  <si>
    <t>QUANTITA' 
IN GRAMMI</t>
  </si>
  <si>
    <t>Parte
edibile (g)</t>
  </si>
  <si>
    <t>Prot
anim</t>
  </si>
  <si>
    <t>Zuccheri
semplici</t>
  </si>
  <si>
    <t>Zuccheri
 semplici</t>
  </si>
  <si>
    <t>Grassi
Saturi</t>
  </si>
  <si>
    <t>Ferro</t>
  </si>
  <si>
    <t xml:space="preserve"> Ferro mg</t>
  </si>
  <si>
    <t>Ca</t>
  </si>
  <si>
    <t>Ca mg</t>
  </si>
  <si>
    <t>K</t>
  </si>
  <si>
    <t>K 
potassio mg</t>
  </si>
  <si>
    <t>P 
fosforo mg</t>
  </si>
  <si>
    <t>Vit B1</t>
  </si>
  <si>
    <t>Vit B1 mg</t>
  </si>
  <si>
    <t>Vit B2</t>
  </si>
  <si>
    <t>Vit B2 mg</t>
  </si>
  <si>
    <t>Vit B3</t>
  </si>
  <si>
    <t>Vit B3 mg</t>
  </si>
  <si>
    <t>Vit B6</t>
  </si>
  <si>
    <t>Vit B6 mg</t>
  </si>
  <si>
    <t>Vit C</t>
  </si>
  <si>
    <t>Vit C mg</t>
  </si>
  <si>
    <t>Vit D</t>
  </si>
  <si>
    <t>Vit D img</t>
  </si>
  <si>
    <t>TIPO</t>
  </si>
  <si>
    <t xml:space="preserve">AVENA </t>
  </si>
  <si>
    <t>CEREALI/TUBERI</t>
  </si>
  <si>
    <t>CEREALI AGGREGATI</t>
  </si>
  <si>
    <t>CRACKERS SALATI</t>
  </si>
  <si>
    <t>FARINA DI AVENA</t>
  </si>
  <si>
    <t>FARINA DI FRUMENTO, INTEGRALE</t>
  </si>
  <si>
    <t xml:space="preserve">FARINA DI FRUMENTO, TIPO </t>
  </si>
  <si>
    <t>FETTE BISCOTTATE, DOLCI</t>
  </si>
  <si>
    <t>FETTE BISCOTTATE, INTEGRALI</t>
  </si>
  <si>
    <t>FIOCCHI DI MAIS (CORNFLAKES)</t>
  </si>
  <si>
    <t>FOCACCIA</t>
  </si>
  <si>
    <t>GRISSINI</t>
  </si>
  <si>
    <t>MAIS DOLCE IN SCATOLA</t>
  </si>
  <si>
    <t>ORZO  PERLATO</t>
  </si>
  <si>
    <t>PANCARRE' AMERICANO COMUNE</t>
  </si>
  <si>
    <t>PANE AL LATTE</t>
  </si>
  <si>
    <t>PANE INTEGRALE</t>
  </si>
  <si>
    <t>PASTA ALL'UOVO, secca</t>
  </si>
  <si>
    <t>PASTA DI SEMOLA</t>
  </si>
  <si>
    <t>PASTA DI SEMOLA INTEGRALE</t>
  </si>
  <si>
    <t>PATATE</t>
  </si>
  <si>
    <t>PATATINE IN SACCHETTO</t>
  </si>
  <si>
    <t>POLENTA</t>
  </si>
  <si>
    <t>POP CORN</t>
  </si>
  <si>
    <t>RISO  BRILLATO</t>
  </si>
  <si>
    <t>RISO SOFFIATO</t>
  </si>
  <si>
    <t>RISO, SBRAMATO (INTEGRALE)</t>
  </si>
  <si>
    <t>RISO, TIPO PARBOILED</t>
  </si>
  <si>
    <t>SALATINI</t>
  </si>
  <si>
    <t>BRESAOLA</t>
  </si>
  <si>
    <t>CARNI</t>
  </si>
  <si>
    <t xml:space="preserve">CONIGLIO </t>
  </si>
  <si>
    <t>GALLINA</t>
  </si>
  <si>
    <t>POLLO, COSCIA</t>
  </si>
  <si>
    <t>POLLO, PETTO</t>
  </si>
  <si>
    <t>TACCHINO, COSCIA</t>
  </si>
  <si>
    <t>TACCHINO, PETTO</t>
  </si>
  <si>
    <t>MORTADELLA DI SUINO</t>
  </si>
  <si>
    <t>CARNI INSACCATI</t>
  </si>
  <si>
    <t>PROSCIUTTO COTTO</t>
  </si>
  <si>
    <t>PROSCIUTTO CRUDO</t>
  </si>
  <si>
    <t>SALAME DI SUINO</t>
  </si>
  <si>
    <t>SALSICCIA DI SUINO, fresca</t>
  </si>
  <si>
    <t>SPECK</t>
  </si>
  <si>
    <t>SUINO, CARNE SEMIGRASSA</t>
  </si>
  <si>
    <t>WURSTEL</t>
  </si>
  <si>
    <t>WURSTEL DI POLLO</t>
  </si>
  <si>
    <t>ZAMPONE</t>
  </si>
  <si>
    <t>ACCIUGHE o ALICI</t>
  </si>
  <si>
    <t>PESCE</t>
  </si>
  <si>
    <t>ACCIUGHE o ALICI SOTT'OLIO</t>
  </si>
  <si>
    <t xml:space="preserve">CARPA </t>
  </si>
  <si>
    <t>COZZA O MITILO</t>
  </si>
  <si>
    <t>GAMBERETTI SURGELATI</t>
  </si>
  <si>
    <t>MERLUZZO SURGELATO</t>
  </si>
  <si>
    <t>ORATA SURGELATA</t>
  </si>
  <si>
    <t>POLPO SURGELATO</t>
  </si>
  <si>
    <t>SALMONE [SALMO SALAR]</t>
  </si>
  <si>
    <t>SALMONE AFFUMICATO</t>
  </si>
  <si>
    <t>SEPPIA SURGELATA</t>
  </si>
  <si>
    <t>SGOMBRO, FILETTI SOTT'OLIO</t>
  </si>
  <si>
    <t>SOGLIOLA SURGELATA</t>
  </si>
  <si>
    <t>SURIMI</t>
  </si>
  <si>
    <t>TONNO SOTT'OLIO, SGOCCIOLATO</t>
  </si>
  <si>
    <t xml:space="preserve">TROTA </t>
  </si>
  <si>
    <t xml:space="preserve">VONGOLA </t>
  </si>
  <si>
    <t>UOVO DI GALLINA, INTERO</t>
  </si>
  <si>
    <t>UOVA</t>
  </si>
  <si>
    <t>ARACHIDI TOSTATE</t>
  </si>
  <si>
    <t>LEGUMI</t>
  </si>
  <si>
    <t>CECI [CICER ARIETINUM], secchi</t>
  </si>
  <si>
    <t>CECI IN SCATOLA</t>
  </si>
  <si>
    <t xml:space="preserve">FAGIOLI </t>
  </si>
  <si>
    <t>FAGIOLI IN SCATOLA</t>
  </si>
  <si>
    <t>FARINA DI CECI</t>
  </si>
  <si>
    <t>LATTE DI SOIA</t>
  </si>
  <si>
    <t>LATTE, CONDENSATO, CON ZUCCHERO</t>
  </si>
  <si>
    <t>LATTE DI VACCA, INTERO</t>
  </si>
  <si>
    <t>LATTE DI VACCA, PARZ. SCREMATO</t>
  </si>
  <si>
    <t>LENTICCHIE secche</t>
  </si>
  <si>
    <t>LENTICCHIE IN SCATOLA</t>
  </si>
  <si>
    <t>PISELLI freschi</t>
  </si>
  <si>
    <t>PISELLI IN SCATOLA</t>
  </si>
  <si>
    <t>PISELLI IN SCATOLA SGOCCIOLATI</t>
  </si>
  <si>
    <t>PISELLI SURGELATI</t>
  </si>
  <si>
    <t>SOIA, SEMI</t>
  </si>
  <si>
    <t>ASIAGO</t>
  </si>
  <si>
    <t>LATTICINI</t>
  </si>
  <si>
    <t>CERTOSINO</t>
  </si>
  <si>
    <t>EMMENTHAL</t>
  </si>
  <si>
    <t>FONTINA</t>
  </si>
  <si>
    <t>FORMAGGINO</t>
  </si>
  <si>
    <t>GORGONZOLA</t>
  </si>
  <si>
    <t>GRANA</t>
  </si>
  <si>
    <t>MASCARPONE</t>
  </si>
  <si>
    <t>MOZZARELLA</t>
  </si>
  <si>
    <t>PARMIGIANO</t>
  </si>
  <si>
    <t>PECORINO</t>
  </si>
  <si>
    <t>PROVOLONE</t>
  </si>
  <si>
    <t>RICOTTA DI VACCA</t>
  </si>
  <si>
    <t>SOTTILETTE</t>
  </si>
  <si>
    <t>TALEGGIO</t>
  </si>
  <si>
    <t>YOGURT DI LATTE INTERO</t>
  </si>
  <si>
    <t>YOGURT INTERO AI CEREALI E MALTO</t>
  </si>
  <si>
    <t>YOGURT INTERO ALLA FRUTTA</t>
  </si>
  <si>
    <t>YOGURT  MAGRO ALLA FRUTTA</t>
  </si>
  <si>
    <t>ASPARAGI</t>
  </si>
  <si>
    <t>VERDURA</t>
  </si>
  <si>
    <t>ASPARAGI IN SCATOLA</t>
  </si>
  <si>
    <t xml:space="preserve">AVOCADO  </t>
  </si>
  <si>
    <t>BRODO DI CARNE E VERDURA</t>
  </si>
  <si>
    <t xml:space="preserve">CARCIOFI  </t>
  </si>
  <si>
    <t xml:space="preserve">CAROTE  </t>
  </si>
  <si>
    <t>CAVOLFIORE</t>
  </si>
  <si>
    <t>CAVOLO BROCCOLO VERDE</t>
  </si>
  <si>
    <t xml:space="preserve">CICORIA </t>
  </si>
  <si>
    <t xml:space="preserve">CIPOLLE  </t>
  </si>
  <si>
    <t xml:space="preserve">FAGIOLINI  </t>
  </si>
  <si>
    <t>FAGIOLINI IN SCATOLA</t>
  </si>
  <si>
    <t xml:space="preserve">FINOCCHIO  </t>
  </si>
  <si>
    <t>FUNGHI IN SCATOLA</t>
  </si>
  <si>
    <t xml:space="preserve">FUNGHI PORCINI  </t>
  </si>
  <si>
    <t>FUNGHI PRATAIOLI</t>
  </si>
  <si>
    <t xml:space="preserve">LATTUGA </t>
  </si>
  <si>
    <t xml:space="preserve">MELANZANE  </t>
  </si>
  <si>
    <t xml:space="preserve">POMODORI DA INSALATA </t>
  </si>
  <si>
    <t>POMODORO, CONSERVA</t>
  </si>
  <si>
    <t xml:space="preserve">RUCOLA </t>
  </si>
  <si>
    <t xml:space="preserve">SPINACI </t>
  </si>
  <si>
    <t>ZUCCA GIALLA</t>
  </si>
  <si>
    <t xml:space="preserve">ZUCCHINE </t>
  </si>
  <si>
    <t>PIZZA, solo POMODORO</t>
  </si>
  <si>
    <t>PIATTI PRONTI</t>
  </si>
  <si>
    <t>PIZZA POMODORO E MOZZARELLA</t>
  </si>
  <si>
    <t>SOFFICINI AL FORMAGGIO SURGELATI</t>
  </si>
  <si>
    <t>TORTELLINI, secchi</t>
  </si>
  <si>
    <t>INSALATA DI RISO</t>
  </si>
  <si>
    <t xml:space="preserve">ALBICOCCHE </t>
  </si>
  <si>
    <t xml:space="preserve">ANANAS </t>
  </si>
  <si>
    <t xml:space="preserve">ARANCE </t>
  </si>
  <si>
    <t xml:space="preserve">BANANA </t>
  </si>
  <si>
    <t xml:space="preserve">CASTAGNE </t>
  </si>
  <si>
    <t xml:space="preserve">CILIEGE </t>
  </si>
  <si>
    <t xml:space="preserve">COCOMERO </t>
  </si>
  <si>
    <t>DATTERI, secchi</t>
  </si>
  <si>
    <t xml:space="preserve">FICHI </t>
  </si>
  <si>
    <t>FICHI SECCHI</t>
  </si>
  <si>
    <t xml:space="preserve">FRAGOLE </t>
  </si>
  <si>
    <t xml:space="preserve">KIWI </t>
  </si>
  <si>
    <t>MACEDONIA DI FRUTTA IN SCATOLA</t>
  </si>
  <si>
    <t>MANDARANCI e CLEMENTINE</t>
  </si>
  <si>
    <t xml:space="preserve">MELA </t>
  </si>
  <si>
    <t xml:space="preserve">MELONE D'ESTATE </t>
  </si>
  <si>
    <t xml:space="preserve">MIRTILLO NERO </t>
  </si>
  <si>
    <t xml:space="preserve">MORA DI ROVO </t>
  </si>
  <si>
    <t xml:space="preserve">PERA  </t>
  </si>
  <si>
    <t xml:space="preserve">PESCA </t>
  </si>
  <si>
    <t xml:space="preserve">PRUGNE </t>
  </si>
  <si>
    <t>PRUGNE, secche</t>
  </si>
  <si>
    <t>SPREMUTA DI ARANCIA</t>
  </si>
  <si>
    <t>SUCCO DI ARANCIA  non zuccherato</t>
  </si>
  <si>
    <t>SUCCO DI UVA  non zuccherato</t>
  </si>
  <si>
    <t xml:space="preserve">UVA </t>
  </si>
  <si>
    <t>UVA SULTANINA/UVETTA, UVA SECCA</t>
  </si>
  <si>
    <t>GIRASOLE, SEMI</t>
  </si>
  <si>
    <t>SEMI/FRUTTA SECCA</t>
  </si>
  <si>
    <t>LATTE DI MANDORLE</t>
  </si>
  <si>
    <t xml:space="preserve">MANDORLE DOLCI </t>
  </si>
  <si>
    <t>MUESLI</t>
  </si>
  <si>
    <t xml:space="preserve">NOCCIOLE </t>
  </si>
  <si>
    <t>NOCI, secche</t>
  </si>
  <si>
    <t>PINOLI [PINUS PINEA]</t>
  </si>
  <si>
    <t>PISTACCHI, secchi</t>
  </si>
  <si>
    <t>ANANAS SCIROPPATA</t>
  </si>
  <si>
    <t>DOLCI</t>
  </si>
  <si>
    <t>ARANCIATA IN LATTINA</t>
  </si>
  <si>
    <t>BIGNE'</t>
  </si>
  <si>
    <t>BISCOTTI AL LATTE</t>
  </si>
  <si>
    <t>BISCOTTI FROLLINI</t>
  </si>
  <si>
    <t>BISCOTTI INTEGRALI</t>
  </si>
  <si>
    <t>BRIOCHES</t>
  </si>
  <si>
    <t>BRIOCHES CON CREMA</t>
  </si>
  <si>
    <t>BRIOCHES CON MARMELLATA</t>
  </si>
  <si>
    <t>BUDINO AL CIOCCOLATO</t>
  </si>
  <si>
    <t>BUDINO ALLA VANIGLIA</t>
  </si>
  <si>
    <t>CARAMELLE ALLA FRUTTA</t>
  </si>
  <si>
    <t>CARAMELLE DURE</t>
  </si>
  <si>
    <t>CIOCCOLATO AL LATTE</t>
  </si>
  <si>
    <t>CIOCCOLATO BIANCO</t>
  </si>
  <si>
    <t>CIOCCOLATO FONDENTE</t>
  </si>
  <si>
    <t>CIOCCOLATO GIANDUIA</t>
  </si>
  <si>
    <t>COCA COLA</t>
  </si>
  <si>
    <t>CREMA DI CACAO E NOCCIOLE</t>
  </si>
  <si>
    <t>CREMA PER PASTICCERIA</t>
  </si>
  <si>
    <t>CREME CARAMEL</t>
  </si>
  <si>
    <t>CROSTATA CON MARMELLATA</t>
  </si>
  <si>
    <t>GELATO AL CIOCCOLATO</t>
  </si>
  <si>
    <t>GELATO ALLA FRUTTA</t>
  </si>
  <si>
    <t>GELATO FIOR DI LATTE</t>
  </si>
  <si>
    <t>GHIACCIOLO ALL'ARANCIO</t>
  </si>
  <si>
    <t>GOMME DA MASTICARE</t>
  </si>
  <si>
    <t xml:space="preserve">MARMELLATA </t>
  </si>
  <si>
    <t>MARMELLATA con meno ZUCCHERO</t>
  </si>
  <si>
    <t>MERENDINE CON MARMELLATA</t>
  </si>
  <si>
    <t>MERENDINE FARCITE</t>
  </si>
  <si>
    <t>MERENDINE TIPO PAN DI SPAGNA</t>
  </si>
  <si>
    <t>MERINGA</t>
  </si>
  <si>
    <t>MIELE</t>
  </si>
  <si>
    <t>PAN DI SPAGNA</t>
  </si>
  <si>
    <t>PANETTONE</t>
  </si>
  <si>
    <t>PASTA FROLLA</t>
  </si>
  <si>
    <t>PASTA SFOGLIA</t>
  </si>
  <si>
    <t>PASTICCINI AL COCCO</t>
  </si>
  <si>
    <t>PESCA SCIROPPATA</t>
  </si>
  <si>
    <t>SODA DOLCE</t>
  </si>
  <si>
    <t>TIRAMISU'</t>
  </si>
  <si>
    <t>TORTA AL CIOCCOLATO</t>
  </si>
  <si>
    <t>TORTA MARGHERITA</t>
  </si>
  <si>
    <t>ZUCCHERO (Saccarosio)</t>
  </si>
  <si>
    <t>ZUCCHERO DI CANNA, GREZZO</t>
  </si>
  <si>
    <t>BURRO</t>
  </si>
  <si>
    <t>GRASSI</t>
  </si>
  <si>
    <t>BURRO DI ARACHIDI</t>
  </si>
  <si>
    <t>MAIONESE</t>
  </si>
  <si>
    <t>MARGARINA</t>
  </si>
  <si>
    <t>OLIO DI OLIVA EXTRAVERGINE</t>
  </si>
  <si>
    <t>OLIVE DA TAVOLA, CONSERVATE</t>
  </si>
  <si>
    <t>PANNA, % di lipidi</t>
  </si>
  <si>
    <t>CACAO AMARO, IN POLVERE</t>
  </si>
  <si>
    <t>CAFFE' MOKA, in tazza</t>
  </si>
  <si>
    <t>ORZO SOLUBILE/CAFFE' D'ORZO, tazza</t>
  </si>
  <si>
    <t>TE', in tazza</t>
  </si>
  <si>
    <t>TOTALE</t>
  </si>
  <si>
    <t>0-15</t>
  </si>
  <si>
    <t>BILANCIO FABBISOGNO 1 GIORNO</t>
  </si>
  <si>
    <t>BILANCIO FABBISOGNO 1 SETTIMANA</t>
  </si>
  <si>
    <t>Fe</t>
  </si>
  <si>
    <t>FABBISOGNO pre-adolescenti (vitamine e Sali min.) 1 GIORNO</t>
  </si>
  <si>
    <t>FABBISOGNO pre-adolescenti (vitamine e Sali min.) 1 SETTIMANA</t>
  </si>
  <si>
    <t>Proteine animali</t>
  </si>
  <si>
    <t>Zuccheri semplici</t>
  </si>
  <si>
    <t>Grassi animali</t>
  </si>
  <si>
    <t>Calcio</t>
  </si>
  <si>
    <t>Potassio</t>
  </si>
  <si>
    <t>Fosforo</t>
  </si>
  <si>
    <t>vit. B1</t>
  </si>
  <si>
    <t>vit. B2</t>
  </si>
  <si>
    <t>vit. B3</t>
  </si>
  <si>
    <t>vit. B6</t>
  </si>
  <si>
    <t>vit. C</t>
  </si>
  <si>
    <t>vit. D</t>
  </si>
  <si>
    <t>BILANCIO VITAMINE, SALI MINERALI,
ZUCCHERO, PROTEINE E GRASSI ANIMALI
1 GIORNO</t>
  </si>
  <si>
    <t>BILANCIO VITAMINE, SALI MINERALI,
ZUCCHERO, PROTEINE E GRASSI ANIMALI
1 SETTIMANA</t>
  </si>
  <si>
    <t>PASTA AL RAGU'</t>
  </si>
  <si>
    <t>VITELLONE, CARNE SEMIGRASSA</t>
  </si>
  <si>
    <t>LASAGNE</t>
  </si>
  <si>
    <t>Prof. A. Battistelli
Alimento</t>
  </si>
  <si>
    <t>energia in J</t>
  </si>
  <si>
    <t>energia in j</t>
  </si>
  <si>
    <t xml:space="preserve">apportata o di </t>
  </si>
  <si>
    <t xml:space="preserve">Quantità di acqua </t>
  </si>
  <si>
    <t>pasta pom.integ.+grana (80 gr pasta)</t>
  </si>
  <si>
    <t>Su 50/60 gr di proteine totali</t>
  </si>
  <si>
    <t>Su 250/400gr di proteine tot</t>
  </si>
  <si>
    <t>GIO</t>
  </si>
  <si>
    <t>SAB</t>
  </si>
  <si>
    <t>DOM</t>
  </si>
  <si>
    <t>svago/chiacchiere</t>
  </si>
  <si>
    <t>corsa veloce</t>
  </si>
  <si>
    <t>bicicletta/ginnastica</t>
  </si>
  <si>
    <t>nuoto/sci</t>
  </si>
  <si>
    <t>Judo/karate</t>
  </si>
  <si>
    <t>passo di marcia veloce</t>
  </si>
  <si>
    <t>pasta cotta al ragù (80 gr pasta)</t>
  </si>
  <si>
    <t>PREADOLESCENTI</t>
  </si>
  <si>
    <t>un po' sovrappeso</t>
  </si>
  <si>
    <t>IMC &gt; 39</t>
  </si>
  <si>
    <t>IMC da 29 a 38</t>
  </si>
  <si>
    <t xml:space="preserve">menù1 </t>
  </si>
  <si>
    <t>Mario</t>
  </si>
  <si>
    <t>succo di frutta (1 bicchiere) no zuch.</t>
  </si>
  <si>
    <t>albicocche/ananas (1 porzione)</t>
  </si>
  <si>
    <t>Panini, pizzette</t>
  </si>
  <si>
    <t>pizzetta</t>
  </si>
  <si>
    <t>cereali (40 gr)</t>
  </si>
  <si>
    <t>SUCCO DI FRUTTA</t>
  </si>
  <si>
    <t>succo di frutta 130gr + zucchero</t>
  </si>
  <si>
    <t>sacchetto patatine (1 medio)</t>
  </si>
  <si>
    <t>IMC da 22,6 a 28</t>
  </si>
  <si>
    <t>con IMC&lt;18</t>
  </si>
  <si>
    <t>IMC da 18,1 a 19,1</t>
  </si>
  <si>
    <t>IMC da 19,2 a 22,5</t>
  </si>
  <si>
    <t>1 GIORNO</t>
  </si>
  <si>
    <t>1 SETTIMANA</t>
  </si>
  <si>
    <t>crackers</t>
  </si>
  <si>
    <t>parmigiano/grana (50 gr)</t>
  </si>
  <si>
    <t>dolcetti al cioccolato chocolato</t>
  </si>
  <si>
    <t>PANE COMUNE</t>
  </si>
  <si>
    <t>uova al piatto (escluso burro)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</si>
</sst>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"/>
  </numFmts>
  <fonts count="61" x14ac:knownFonts="1">
    <font>
      <sz val="10"/>
      <name val="Arial"/>
      <family val="2"/>
    </font>
    <font>
      <sz val="10"/>
      <color indexed="17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16"/>
      <name val="Arial"/>
      <family val="2"/>
    </font>
    <font>
      <sz val="9"/>
      <color indexed="17"/>
      <name val="Arial"/>
      <family val="2"/>
    </font>
    <font>
      <b/>
      <sz val="12"/>
      <color indexed="18"/>
      <name val="Arial"/>
      <family val="2"/>
    </font>
    <font>
      <b/>
      <sz val="10"/>
      <color indexed="17"/>
      <name val="Arial"/>
      <family val="2"/>
    </font>
    <font>
      <b/>
      <sz val="12"/>
      <name val="Arial"/>
      <family val="2"/>
    </font>
    <font>
      <b/>
      <sz val="8"/>
      <color indexed="8"/>
      <name val="Tahoma"/>
      <family val="2"/>
      <charset val="1"/>
    </font>
    <font>
      <sz val="8"/>
      <color indexed="8"/>
      <name val="Tahoma"/>
      <family val="2"/>
      <charset val="1"/>
    </font>
    <font>
      <b/>
      <sz val="10"/>
      <color indexed="1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indexed="17"/>
      <name val="Arial"/>
      <family val="2"/>
    </font>
    <font>
      <sz val="14"/>
      <name val="Arial"/>
      <family val="2"/>
    </font>
    <font>
      <b/>
      <sz val="14"/>
      <color indexed="17"/>
      <name val="Arial"/>
      <family val="2"/>
    </font>
    <font>
      <sz val="14"/>
      <color indexed="17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color indexed="52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1"/>
      <color indexed="18"/>
      <name val="Arial"/>
      <family val="2"/>
    </font>
    <font>
      <sz val="9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b/>
      <sz val="9"/>
      <color theme="3" tint="-0.499984740745262"/>
      <name val="Arial"/>
      <family val="2"/>
    </font>
    <font>
      <b/>
      <sz val="8"/>
      <name val="Arial"/>
      <family val="2"/>
    </font>
    <font>
      <sz val="16"/>
      <color theme="3" tint="-0.499984740745262"/>
      <name val="Arial"/>
      <family val="2"/>
    </font>
    <font>
      <b/>
      <sz val="9"/>
      <color indexed="17"/>
      <name val="Arial"/>
      <family val="2"/>
    </font>
    <font>
      <b/>
      <sz val="7"/>
      <name val="Arial"/>
      <family val="2"/>
    </font>
    <font>
      <sz val="8"/>
      <color theme="3" tint="-0.499984740745262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sz val="9"/>
      <color indexed="81"/>
      <name val="Tahoma"/>
      <family val="2"/>
    </font>
    <font>
      <b/>
      <sz val="14"/>
      <color theme="4" tint="-0.249977111117893"/>
      <name val="Arial"/>
      <family val="2"/>
    </font>
    <font>
      <b/>
      <sz val="16"/>
      <color theme="8" tint="-0.499984740745262"/>
      <name val="Arial"/>
      <family val="2"/>
    </font>
    <font>
      <b/>
      <sz val="11"/>
      <name val="Tempus Sans ITC"/>
      <family val="5"/>
    </font>
    <font>
      <b/>
      <sz val="14"/>
      <name val="Tempus Sans ITC"/>
      <family val="5"/>
    </font>
    <font>
      <sz val="10"/>
      <name val="Arial"/>
      <family val="2"/>
    </font>
    <font>
      <sz val="10"/>
      <name val="MS Sans Serif"/>
      <family val="2"/>
    </font>
    <font>
      <b/>
      <sz val="8"/>
      <name val="Verdan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Verdana"/>
      <family val="2"/>
    </font>
    <font>
      <b/>
      <sz val="10"/>
      <name val="Verdana"/>
      <family val="2"/>
    </font>
    <font>
      <sz val="10"/>
      <name val="Calibri"/>
      <family val="2"/>
      <scheme val="minor"/>
    </font>
    <font>
      <b/>
      <sz val="12"/>
      <name val="Verdana"/>
      <family val="2"/>
    </font>
    <font>
      <sz val="12"/>
      <name val="Calibri"/>
      <family val="2"/>
      <scheme val="minor"/>
    </font>
    <font>
      <b/>
      <sz val="12"/>
      <color rgb="FFC00000"/>
      <name val="Verdana"/>
      <family val="2"/>
    </font>
    <font>
      <sz val="12"/>
      <name val="Verdana"/>
      <family val="2"/>
    </font>
    <font>
      <b/>
      <sz val="10"/>
      <color theme="3" tint="-0.249977111117893"/>
      <name val="Arial"/>
      <family val="2"/>
    </font>
    <font>
      <b/>
      <sz val="9"/>
      <color indexed="81"/>
      <name val="Tahoma"/>
      <charset val="1"/>
    </font>
    <font>
      <b/>
      <sz val="8"/>
      <color indexed="1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7"/>
        <bgColor indexed="21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23"/>
        <bgColor indexed="54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41"/>
      </patternFill>
    </fill>
    <fill>
      <patternFill patternType="solid">
        <fgColor theme="3" tint="0.79998168889431442"/>
        <bgColor indexed="58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58"/>
      </patternFill>
    </fill>
    <fill>
      <patternFill patternType="solid">
        <fgColor theme="0"/>
        <bgColor indexed="27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25"/>
      </patternFill>
    </fill>
    <fill>
      <patternFill patternType="solid">
        <fgColor rgb="FFCCFFCC"/>
        <bgColor indexed="23"/>
      </patternFill>
    </fill>
    <fill>
      <patternFill patternType="solid">
        <fgColor rgb="FFCCFFCC"/>
        <bgColor indexed="31"/>
      </patternFill>
    </fill>
    <fill>
      <patternFill patternType="solid">
        <fgColor rgb="FFCCFFCC"/>
        <bgColor indexed="41"/>
      </patternFill>
    </fill>
    <fill>
      <patternFill patternType="solid">
        <fgColor rgb="FFCCFF99"/>
        <bgColor indexed="41"/>
      </patternFill>
    </fill>
    <fill>
      <patternFill patternType="solid">
        <fgColor theme="2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51"/>
      </patternFill>
    </fill>
    <fill>
      <patternFill patternType="solid">
        <fgColor theme="0"/>
        <bgColor indexed="22"/>
      </patternFill>
    </fill>
    <fill>
      <patternFill patternType="solid">
        <fgColor rgb="FFCCCCFF"/>
        <bgColor indexed="25"/>
      </patternFill>
    </fill>
    <fill>
      <patternFill patternType="solid">
        <fgColor theme="3" tint="0.59999389629810485"/>
        <bgColor indexed="58"/>
      </patternFill>
    </fill>
    <fill>
      <patternFill patternType="solid">
        <fgColor theme="0"/>
        <bgColor indexed="26"/>
      </patternFill>
    </fill>
    <fill>
      <patternFill patternType="solid">
        <fgColor rgb="FFCCFF99"/>
        <bgColor indexed="58"/>
      </patternFill>
    </fill>
    <fill>
      <patternFill patternType="solid">
        <fgColor rgb="FFCCCCFF"/>
        <bgColor indexed="27"/>
      </patternFill>
    </fill>
    <fill>
      <patternFill patternType="solid">
        <fgColor theme="8" tint="0.79998168889431442"/>
        <bgColor indexed="27"/>
      </patternFill>
    </fill>
    <fill>
      <patternFill patternType="solid">
        <fgColor rgb="FFFFFF99"/>
        <bgColor indexed="27"/>
      </patternFill>
    </fill>
    <fill>
      <patternFill patternType="solid">
        <fgColor rgb="FFFFFF99"/>
        <bgColor indexed="25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25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39997558519241921"/>
        <bgColor indexed="58"/>
      </patternFill>
    </fill>
    <fill>
      <patternFill patternType="solid">
        <fgColor rgb="FFCCCCFF"/>
        <bgColor indexed="22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FFFF99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rgb="FFCCCCFF"/>
        <bgColor indexed="41"/>
      </patternFill>
    </fill>
    <fill>
      <patternFill patternType="solid">
        <fgColor theme="2"/>
        <bgColor indexed="4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1"/>
      </patternFill>
    </fill>
    <fill>
      <patternFill patternType="solid">
        <fgColor rgb="FFCCFFCC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FFFF99"/>
        <bgColor indexed="60"/>
      </patternFill>
    </fill>
  </fills>
  <borders count="1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18"/>
      </right>
      <top style="medium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49"/>
      </top>
      <bottom style="medium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49"/>
      </right>
      <top style="medium">
        <color indexed="49"/>
      </top>
      <bottom style="medium">
        <color indexed="49"/>
      </bottom>
      <diagonal/>
    </border>
    <border>
      <left style="thin">
        <color indexed="49"/>
      </left>
      <right style="thin">
        <color indexed="49"/>
      </right>
      <top style="medium">
        <color indexed="49"/>
      </top>
      <bottom style="medium">
        <color indexed="4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1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/>
      <bottom style="medium">
        <color indexed="64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7" fillId="0" borderId="0"/>
  </cellStyleXfs>
  <cellXfs count="733">
    <xf numFmtId="0" fontId="0" fillId="0" borderId="0" xfId="0"/>
    <xf numFmtId="0" fontId="0" fillId="0" borderId="0" xfId="0" applyFont="1" applyBorder="1"/>
    <xf numFmtId="164" fontId="0" fillId="0" borderId="0" xfId="0" applyNumberFormat="1" applyFont="1" applyBorder="1"/>
    <xf numFmtId="0" fontId="1" fillId="2" borderId="0" xfId="0" applyFont="1" applyFill="1" applyBorder="1"/>
    <xf numFmtId="0" fontId="0" fillId="0" borderId="0" xfId="0" applyFont="1"/>
    <xf numFmtId="0" fontId="0" fillId="2" borderId="0" xfId="0" applyFont="1" applyFill="1" applyBorder="1" applyAlignment="1">
      <alignment horizontal="right"/>
    </xf>
    <xf numFmtId="164" fontId="0" fillId="2" borderId="0" xfId="0" applyNumberFormat="1" applyFont="1" applyFill="1" applyBorder="1"/>
    <xf numFmtId="0" fontId="0" fillId="2" borderId="0" xfId="0" applyFont="1" applyFill="1" applyBorder="1"/>
    <xf numFmtId="0" fontId="0" fillId="3" borderId="0" xfId="0" applyFont="1" applyFill="1" applyBorder="1"/>
    <xf numFmtId="164" fontId="0" fillId="3" borderId="0" xfId="0" applyNumberFormat="1" applyFont="1" applyFill="1" applyBorder="1"/>
    <xf numFmtId="0" fontId="1" fillId="3" borderId="0" xfId="0" applyFont="1" applyFill="1" applyBorder="1"/>
    <xf numFmtId="164" fontId="7" fillId="4" borderId="5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4" fontId="7" fillId="4" borderId="9" xfId="0" applyNumberFormat="1" applyFont="1" applyFill="1" applyBorder="1" applyAlignment="1">
      <alignment horizontal="center"/>
    </xf>
    <xf numFmtId="0" fontId="0" fillId="3" borderId="0" xfId="0" applyFont="1" applyFill="1"/>
    <xf numFmtId="0" fontId="0" fillId="3" borderId="0" xfId="0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/>
    </xf>
    <xf numFmtId="164" fontId="0" fillId="2" borderId="0" xfId="0" applyNumberFormat="1" applyFont="1" applyFill="1" applyBorder="1" applyAlignment="1" applyProtection="1">
      <alignment horizontal="center" vertical="center"/>
      <protection locked="0"/>
    </xf>
    <xf numFmtId="164" fontId="0" fillId="2" borderId="0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5" fillId="2" borderId="0" xfId="0" applyFont="1" applyFill="1" applyBorder="1"/>
    <xf numFmtId="164" fontId="15" fillId="2" borderId="0" xfId="0" applyNumberFormat="1" applyFont="1" applyFill="1" applyBorder="1"/>
    <xf numFmtId="0" fontId="17" fillId="3" borderId="0" xfId="0" applyFont="1" applyFill="1" applyBorder="1"/>
    <xf numFmtId="0" fontId="15" fillId="3" borderId="0" xfId="0" applyFont="1" applyFill="1" applyBorder="1"/>
    <xf numFmtId="164" fontId="15" fillId="3" borderId="0" xfId="0" applyNumberFormat="1" applyFont="1" applyFill="1" applyBorder="1"/>
    <xf numFmtId="164" fontId="15" fillId="3" borderId="0" xfId="0" applyNumberFormat="1" applyFont="1" applyFill="1" applyBorder="1" applyAlignment="1">
      <alignment horizontal="right"/>
    </xf>
    <xf numFmtId="164" fontId="16" fillId="3" borderId="0" xfId="0" applyNumberFormat="1" applyFont="1" applyFill="1" applyBorder="1"/>
    <xf numFmtId="0" fontId="11" fillId="2" borderId="0" xfId="0" applyFont="1" applyFill="1" applyBorder="1" applyAlignment="1">
      <alignment horizontal="right"/>
    </xf>
    <xf numFmtId="164" fontId="18" fillId="2" borderId="5" xfId="0" applyNumberFormat="1" applyFont="1" applyFill="1" applyBorder="1"/>
    <xf numFmtId="0" fontId="0" fillId="2" borderId="11" xfId="0" applyFont="1" applyFill="1" applyBorder="1"/>
    <xf numFmtId="164" fontId="18" fillId="2" borderId="12" xfId="0" applyNumberFormat="1" applyFont="1" applyFill="1" applyBorder="1"/>
    <xf numFmtId="0" fontId="0" fillId="2" borderId="13" xfId="0" applyFont="1" applyFill="1" applyBorder="1"/>
    <xf numFmtId="0" fontId="1" fillId="0" borderId="14" xfId="0" applyFont="1" applyFill="1" applyBorder="1" applyProtection="1">
      <protection locked="0"/>
    </xf>
    <xf numFmtId="0" fontId="11" fillId="2" borderId="0" xfId="0" applyFont="1" applyFill="1" applyBorder="1" applyAlignment="1">
      <alignment horizontal="center"/>
    </xf>
    <xf numFmtId="164" fontId="18" fillId="2" borderId="15" xfId="0" applyNumberFormat="1" applyFont="1" applyFill="1" applyBorder="1"/>
    <xf numFmtId="0" fontId="0" fillId="2" borderId="16" xfId="0" applyFont="1" applyFill="1" applyBorder="1"/>
    <xf numFmtId="1" fontId="0" fillId="2" borderId="0" xfId="0" applyNumberFormat="1" applyFont="1" applyFill="1" applyBorder="1"/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165" fontId="19" fillId="0" borderId="0" xfId="0" applyNumberFormat="1" applyFont="1" applyFill="1" applyBorder="1"/>
    <xf numFmtId="1" fontId="19" fillId="0" borderId="0" xfId="0" applyNumberFormat="1" applyFont="1" applyFill="1" applyBorder="1"/>
    <xf numFmtId="164" fontId="19" fillId="0" borderId="0" xfId="0" applyNumberFormat="1" applyFont="1" applyFill="1" applyBorder="1"/>
    <xf numFmtId="0" fontId="19" fillId="6" borderId="0" xfId="0" applyFont="1" applyFill="1" applyBorder="1"/>
    <xf numFmtId="0" fontId="19" fillId="7" borderId="0" xfId="0" applyFont="1" applyFill="1" applyBorder="1"/>
    <xf numFmtId="0" fontId="19" fillId="0" borderId="0" xfId="0" applyFont="1" applyBorder="1"/>
    <xf numFmtId="0" fontId="0" fillId="0" borderId="0" xfId="0" applyFont="1" applyAlignment="1">
      <alignment horizontal="left" indent="1"/>
    </xf>
    <xf numFmtId="165" fontId="19" fillId="0" borderId="0" xfId="0" applyNumberFormat="1" applyFont="1" applyBorder="1"/>
    <xf numFmtId="1" fontId="19" fillId="7" borderId="0" xfId="0" applyNumberFormat="1" applyFont="1" applyFill="1" applyBorder="1"/>
    <xf numFmtId="164" fontId="19" fillId="0" borderId="0" xfId="0" applyNumberFormat="1" applyFont="1" applyBorder="1"/>
    <xf numFmtId="0" fontId="19" fillId="7" borderId="0" xfId="0" applyFont="1" applyFill="1" applyBorder="1" applyAlignment="1">
      <alignment horizontal="right"/>
    </xf>
    <xf numFmtId="164" fontId="19" fillId="7" borderId="0" xfId="0" applyNumberFormat="1" applyFont="1" applyFill="1" applyBorder="1"/>
    <xf numFmtId="0" fontId="23" fillId="7" borderId="0" xfId="0" applyFont="1" applyFill="1" applyBorder="1"/>
    <xf numFmtId="0" fontId="19" fillId="9" borderId="0" xfId="0" applyFont="1" applyFill="1" applyBorder="1"/>
    <xf numFmtId="0" fontId="19" fillId="5" borderId="0" xfId="0" applyFont="1" applyFill="1" applyBorder="1"/>
    <xf numFmtId="0" fontId="23" fillId="0" borderId="0" xfId="0" applyFont="1" applyBorder="1" applyAlignment="1">
      <alignment horizontal="left"/>
    </xf>
    <xf numFmtId="164" fontId="23" fillId="0" borderId="0" xfId="0" applyNumberFormat="1" applyFont="1" applyBorder="1"/>
    <xf numFmtId="1" fontId="23" fillId="0" borderId="0" xfId="0" applyNumberFormat="1" applyFont="1" applyBorder="1"/>
    <xf numFmtId="1" fontId="0" fillId="0" borderId="0" xfId="0" applyNumberFormat="1" applyFont="1" applyBorder="1" applyAlignment="1">
      <alignment horizontal="right"/>
    </xf>
    <xf numFmtId="164" fontId="23" fillId="0" borderId="0" xfId="0" applyNumberFormat="1" applyFont="1" applyFill="1" applyBorder="1"/>
    <xf numFmtId="0" fontId="0" fillId="9" borderId="0" xfId="0" applyFont="1" applyFill="1" applyBorder="1"/>
    <xf numFmtId="164" fontId="23" fillId="8" borderId="2" xfId="0" applyNumberFormat="1" applyFont="1" applyFill="1" applyBorder="1" applyAlignment="1">
      <alignment horizontal="center"/>
    </xf>
    <xf numFmtId="0" fontId="23" fillId="9" borderId="0" xfId="0" applyFont="1" applyFill="1" applyBorder="1"/>
    <xf numFmtId="0" fontId="23" fillId="0" borderId="0" xfId="0" applyFont="1" applyBorder="1"/>
    <xf numFmtId="0" fontId="24" fillId="9" borderId="0" xfId="0" applyFont="1" applyFill="1" applyBorder="1"/>
    <xf numFmtId="0" fontId="24" fillId="0" borderId="0" xfId="0" applyFont="1" applyBorder="1"/>
    <xf numFmtId="164" fontId="23" fillId="8" borderId="0" xfId="0" applyNumberFormat="1" applyFont="1" applyFill="1" applyBorder="1"/>
    <xf numFmtId="1" fontId="23" fillId="8" borderId="0" xfId="0" applyNumberFormat="1" applyFont="1" applyFill="1" applyBorder="1"/>
    <xf numFmtId="1" fontId="0" fillId="8" borderId="0" xfId="0" applyNumberFormat="1" applyFont="1" applyFill="1" applyBorder="1" applyAlignment="1">
      <alignment horizontal="right"/>
    </xf>
    <xf numFmtId="164" fontId="19" fillId="9" borderId="0" xfId="0" applyNumberFormat="1" applyFont="1" applyFill="1" applyBorder="1"/>
    <xf numFmtId="164" fontId="23" fillId="2" borderId="0" xfId="0" applyNumberFormat="1" applyFont="1" applyFill="1" applyBorder="1"/>
    <xf numFmtId="1" fontId="23" fillId="2" borderId="0" xfId="0" applyNumberFormat="1" applyFont="1" applyFill="1" applyBorder="1"/>
    <xf numFmtId="1" fontId="0" fillId="2" borderId="0" xfId="0" applyNumberFormat="1" applyFont="1" applyFill="1" applyBorder="1" applyAlignment="1">
      <alignment horizontal="right"/>
    </xf>
    <xf numFmtId="0" fontId="0" fillId="4" borderId="0" xfId="0" applyFont="1" applyFill="1" applyBorder="1"/>
    <xf numFmtId="0" fontId="0" fillId="7" borderId="0" xfId="0" applyFont="1" applyFill="1" applyBorder="1"/>
    <xf numFmtId="164" fontId="0" fillId="4" borderId="0" xfId="0" applyNumberFormat="1" applyFont="1" applyFill="1" applyBorder="1"/>
    <xf numFmtId="0" fontId="8" fillId="2" borderId="19" xfId="0" applyFont="1" applyFill="1" applyBorder="1"/>
    <xf numFmtId="164" fontId="8" fillId="2" borderId="20" xfId="0" applyNumberFormat="1" applyFont="1" applyFill="1" applyBorder="1"/>
    <xf numFmtId="0" fontId="8" fillId="2" borderId="11" xfId="0" applyFont="1" applyFill="1" applyBorder="1"/>
    <xf numFmtId="0" fontId="8" fillId="2" borderId="21" xfId="0" applyFont="1" applyFill="1" applyBorder="1"/>
    <xf numFmtId="164" fontId="8" fillId="2" borderId="0" xfId="0" applyNumberFormat="1" applyFont="1" applyFill="1" applyBorder="1"/>
    <xf numFmtId="0" fontId="8" fillId="2" borderId="22" xfId="0" applyFont="1" applyFill="1" applyBorder="1"/>
    <xf numFmtId="0" fontId="8" fillId="2" borderId="23" xfId="0" applyFont="1" applyFill="1" applyBorder="1"/>
    <xf numFmtId="164" fontId="8" fillId="2" borderId="24" xfId="0" applyNumberFormat="1" applyFont="1" applyFill="1" applyBorder="1"/>
    <xf numFmtId="0" fontId="8" fillId="2" borderId="16" xfId="0" applyFont="1" applyFill="1" applyBorder="1"/>
    <xf numFmtId="0" fontId="8" fillId="2" borderId="25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3" fillId="0" borderId="0" xfId="0" applyFont="1" applyFill="1"/>
    <xf numFmtId="0" fontId="13" fillId="0" borderId="0" xfId="0" applyFont="1" applyFill="1" applyAlignment="1">
      <alignment horizontal="left" indent="1"/>
    </xf>
    <xf numFmtId="1" fontId="13" fillId="0" borderId="0" xfId="0" applyNumberFormat="1" applyFont="1" applyFill="1"/>
    <xf numFmtId="0" fontId="13" fillId="0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32" fillId="11" borderId="35" xfId="0" applyFont="1" applyFill="1" applyBorder="1" applyAlignment="1"/>
    <xf numFmtId="165" fontId="32" fillId="11" borderId="44" xfId="0" applyNumberFormat="1" applyFont="1" applyFill="1" applyBorder="1" applyAlignment="1">
      <alignment horizontal="center"/>
    </xf>
    <xf numFmtId="164" fontId="32" fillId="11" borderId="36" xfId="0" applyNumberFormat="1" applyFont="1" applyFill="1" applyBorder="1" applyAlignment="1">
      <alignment horizontal="center"/>
    </xf>
    <xf numFmtId="164" fontId="32" fillId="11" borderId="37" xfId="0" applyNumberFormat="1" applyFont="1" applyFill="1" applyBorder="1" applyAlignment="1">
      <alignment horizontal="center"/>
    </xf>
    <xf numFmtId="0" fontId="32" fillId="11" borderId="39" xfId="0" applyFont="1" applyFill="1" applyBorder="1" applyAlignment="1">
      <alignment horizontal="center"/>
    </xf>
    <xf numFmtId="0" fontId="32" fillId="11" borderId="40" xfId="0" applyFont="1" applyFill="1" applyBorder="1" applyAlignment="1">
      <alignment horizontal="center"/>
    </xf>
    <xf numFmtId="0" fontId="32" fillId="11" borderId="40" xfId="0" applyFont="1" applyFill="1" applyBorder="1"/>
    <xf numFmtId="0" fontId="32" fillId="11" borderId="26" xfId="0" applyFont="1" applyFill="1" applyBorder="1"/>
    <xf numFmtId="165" fontId="32" fillId="11" borderId="46" xfId="0" applyNumberFormat="1" applyFont="1" applyFill="1" applyBorder="1" applyAlignment="1">
      <alignment horizontal="center"/>
    </xf>
    <xf numFmtId="1" fontId="32" fillId="11" borderId="27" xfId="0" applyNumberFormat="1" applyFont="1" applyFill="1" applyBorder="1" applyAlignment="1">
      <alignment horizontal="center"/>
    </xf>
    <xf numFmtId="1" fontId="32" fillId="11" borderId="40" xfId="0" applyNumberFormat="1" applyFont="1" applyFill="1" applyBorder="1" applyAlignment="1">
      <alignment horizontal="center"/>
    </xf>
    <xf numFmtId="1" fontId="32" fillId="11" borderId="41" xfId="0" applyNumberFormat="1" applyFont="1" applyFill="1" applyBorder="1" applyAlignment="1">
      <alignment horizontal="center"/>
    </xf>
    <xf numFmtId="164" fontId="32" fillId="11" borderId="42" xfId="0" applyNumberFormat="1" applyFont="1" applyFill="1" applyBorder="1" applyAlignment="1">
      <alignment horizontal="center"/>
    </xf>
    <xf numFmtId="164" fontId="32" fillId="11" borderId="43" xfId="0" applyNumberFormat="1" applyFont="1" applyFill="1" applyBorder="1" applyAlignment="1">
      <alignment horizontal="center"/>
    </xf>
    <xf numFmtId="164" fontId="19" fillId="12" borderId="1" xfId="0" applyNumberFormat="1" applyFont="1" applyFill="1" applyBorder="1"/>
    <xf numFmtId="164" fontId="19" fillId="10" borderId="6" xfId="0" applyNumberFormat="1" applyFont="1" applyFill="1" applyBorder="1" applyAlignment="1">
      <alignment horizontal="left"/>
    </xf>
    <xf numFmtId="0" fontId="19" fillId="10" borderId="6" xfId="0" applyFont="1" applyFill="1" applyBorder="1"/>
    <xf numFmtId="1" fontId="19" fillId="10" borderId="29" xfId="0" applyNumberFormat="1" applyFont="1" applyFill="1" applyBorder="1"/>
    <xf numFmtId="1" fontId="19" fillId="10" borderId="6" xfId="0" applyNumberFormat="1" applyFont="1" applyFill="1" applyBorder="1"/>
    <xf numFmtId="164" fontId="22" fillId="10" borderId="6" xfId="0" applyNumberFormat="1" applyFont="1" applyFill="1" applyBorder="1"/>
    <xf numFmtId="164" fontId="19" fillId="10" borderId="6" xfId="0" applyNumberFormat="1" applyFont="1" applyFill="1" applyBorder="1"/>
    <xf numFmtId="164" fontId="19" fillId="10" borderId="1" xfId="0" applyNumberFormat="1" applyFont="1" applyFill="1" applyBorder="1" applyAlignment="1">
      <alignment horizontal="left"/>
    </xf>
    <xf numFmtId="0" fontId="19" fillId="10" borderId="1" xfId="0" applyFont="1" applyFill="1" applyBorder="1"/>
    <xf numFmtId="1" fontId="19" fillId="10" borderId="17" xfId="0" applyNumberFormat="1" applyFont="1" applyFill="1" applyBorder="1"/>
    <xf numFmtId="1" fontId="19" fillId="10" borderId="1" xfId="0" applyNumberFormat="1" applyFont="1" applyFill="1" applyBorder="1"/>
    <xf numFmtId="164" fontId="22" fillId="10" borderId="1" xfId="0" applyNumberFormat="1" applyFont="1" applyFill="1" applyBorder="1"/>
    <xf numFmtId="164" fontId="19" fillId="10" borderId="1" xfId="0" applyNumberFormat="1" applyFont="1" applyFill="1" applyBorder="1"/>
    <xf numFmtId="0" fontId="0" fillId="14" borderId="49" xfId="0" applyFont="1" applyFill="1" applyBorder="1" applyProtection="1">
      <protection locked="0"/>
    </xf>
    <xf numFmtId="0" fontId="0" fillId="14" borderId="47" xfId="0" applyFont="1" applyFill="1" applyBorder="1" applyProtection="1">
      <protection locked="0"/>
    </xf>
    <xf numFmtId="165" fontId="19" fillId="14" borderId="47" xfId="0" applyNumberFormat="1" applyFont="1" applyFill="1" applyBorder="1" applyProtection="1">
      <protection locked="0"/>
    </xf>
    <xf numFmtId="0" fontId="19" fillId="14" borderId="47" xfId="0" applyNumberFormat="1" applyFont="1" applyFill="1" applyBorder="1" applyProtection="1">
      <protection locked="0"/>
    </xf>
    <xf numFmtId="165" fontId="19" fillId="14" borderId="48" xfId="0" applyNumberFormat="1" applyFont="1" applyFill="1" applyBorder="1" applyProtection="1">
      <protection locked="0"/>
    </xf>
    <xf numFmtId="164" fontId="19" fillId="10" borderId="2" xfId="0" applyNumberFormat="1" applyFont="1" applyFill="1" applyBorder="1" applyAlignment="1">
      <alignment horizontal="left"/>
    </xf>
    <xf numFmtId="164" fontId="19" fillId="10" borderId="2" xfId="0" applyNumberFormat="1" applyFont="1" applyFill="1" applyBorder="1"/>
    <xf numFmtId="164" fontId="19" fillId="10" borderId="26" xfId="0" applyNumberFormat="1" applyFont="1" applyFill="1" applyBorder="1"/>
    <xf numFmtId="0" fontId="0" fillId="14" borderId="53" xfId="0" applyFont="1" applyFill="1" applyBorder="1" applyProtection="1">
      <protection locked="0"/>
    </xf>
    <xf numFmtId="1" fontId="19" fillId="10" borderId="27" xfId="0" applyNumberFormat="1" applyFont="1" applyFill="1" applyBorder="1"/>
    <xf numFmtId="1" fontId="19" fillId="10" borderId="2" xfId="0" applyNumberFormat="1" applyFont="1" applyFill="1" applyBorder="1"/>
    <xf numFmtId="164" fontId="22" fillId="10" borderId="2" xfId="0" applyNumberFormat="1" applyFont="1" applyFill="1" applyBorder="1"/>
    <xf numFmtId="165" fontId="19" fillId="14" borderId="49" xfId="0" applyNumberFormat="1" applyFont="1" applyFill="1" applyBorder="1" applyProtection="1">
      <protection locked="0"/>
    </xf>
    <xf numFmtId="164" fontId="33" fillId="12" borderId="50" xfId="0" applyNumberFormat="1" applyFont="1" applyFill="1" applyBorder="1" applyAlignment="1">
      <alignment horizontal="left"/>
    </xf>
    <xf numFmtId="0" fontId="30" fillId="12" borderId="51" xfId="0" applyFont="1" applyFill="1" applyBorder="1"/>
    <xf numFmtId="1" fontId="30" fillId="12" borderId="51" xfId="0" applyNumberFormat="1" applyFont="1" applyFill="1" applyBorder="1"/>
    <xf numFmtId="164" fontId="30" fillId="12" borderId="51" xfId="0" applyNumberFormat="1" applyFont="1" applyFill="1" applyBorder="1"/>
    <xf numFmtId="164" fontId="30" fillId="12" borderId="52" xfId="0" applyNumberFormat="1" applyFont="1" applyFill="1" applyBorder="1"/>
    <xf numFmtId="0" fontId="33" fillId="15" borderId="50" xfId="0" applyFont="1" applyFill="1" applyBorder="1" applyAlignment="1">
      <alignment horizontal="left"/>
    </xf>
    <xf numFmtId="164" fontId="30" fillId="15" borderId="51" xfId="0" applyNumberFormat="1" applyFont="1" applyFill="1" applyBorder="1"/>
    <xf numFmtId="165" fontId="30" fillId="15" borderId="51" xfId="0" applyNumberFormat="1" applyFont="1" applyFill="1" applyBorder="1"/>
    <xf numFmtId="1" fontId="30" fillId="15" borderId="51" xfId="0" applyNumberFormat="1" applyFont="1" applyFill="1" applyBorder="1"/>
    <xf numFmtId="164" fontId="33" fillId="15" borderId="51" xfId="0" applyNumberFormat="1" applyFont="1" applyFill="1" applyBorder="1"/>
    <xf numFmtId="164" fontId="30" fillId="15" borderId="52" xfId="0" applyNumberFormat="1" applyFont="1" applyFill="1" applyBorder="1"/>
    <xf numFmtId="165" fontId="19" fillId="14" borderId="53" xfId="0" applyNumberFormat="1" applyFont="1" applyFill="1" applyBorder="1" applyProtection="1">
      <protection locked="0"/>
    </xf>
    <xf numFmtId="164" fontId="33" fillId="15" borderId="50" xfId="0" applyNumberFormat="1" applyFont="1" applyFill="1" applyBorder="1" applyAlignment="1">
      <alignment horizontal="left"/>
    </xf>
    <xf numFmtId="0" fontId="30" fillId="15" borderId="51" xfId="0" applyFont="1" applyFill="1" applyBorder="1"/>
    <xf numFmtId="0" fontId="19" fillId="10" borderId="6" xfId="0" applyFont="1" applyFill="1" applyBorder="1" applyAlignment="1">
      <alignment horizontal="left"/>
    </xf>
    <xf numFmtId="164" fontId="19" fillId="10" borderId="28" xfId="0" applyNumberFormat="1" applyFont="1" applyFill="1" applyBorder="1"/>
    <xf numFmtId="0" fontId="19" fillId="10" borderId="1" xfId="0" applyFont="1" applyFill="1" applyBorder="1" applyAlignment="1">
      <alignment horizontal="left"/>
    </xf>
    <xf numFmtId="0" fontId="19" fillId="10" borderId="2" xfId="0" applyFont="1" applyFill="1" applyBorder="1" applyAlignment="1">
      <alignment horizontal="left"/>
    </xf>
    <xf numFmtId="0" fontId="19" fillId="10" borderId="2" xfId="0" applyFont="1" applyFill="1" applyBorder="1"/>
    <xf numFmtId="0" fontId="23" fillId="16" borderId="1" xfId="0" applyFont="1" applyFill="1" applyBorder="1" applyAlignment="1">
      <alignment horizontal="left"/>
    </xf>
    <xf numFmtId="0" fontId="19" fillId="16" borderId="1" xfId="0" applyFont="1" applyFill="1" applyBorder="1" applyAlignment="1">
      <alignment horizontal="right" wrapText="1"/>
    </xf>
    <xf numFmtId="0" fontId="19" fillId="16" borderId="1" xfId="0" applyFont="1" applyFill="1" applyBorder="1"/>
    <xf numFmtId="0" fontId="19" fillId="16" borderId="7" xfId="0" applyFont="1" applyFill="1" applyBorder="1"/>
    <xf numFmtId="164" fontId="23" fillId="10" borderId="2" xfId="0" applyNumberFormat="1" applyFont="1" applyFill="1" applyBorder="1"/>
    <xf numFmtId="1" fontId="19" fillId="16" borderId="17" xfId="0" applyNumberFormat="1" applyFont="1" applyFill="1" applyBorder="1"/>
    <xf numFmtId="1" fontId="19" fillId="16" borderId="1" xfId="0" applyNumberFormat="1" applyFont="1" applyFill="1" applyBorder="1"/>
    <xf numFmtId="164" fontId="22" fillId="16" borderId="1" xfId="0" applyNumberFormat="1" applyFont="1" applyFill="1" applyBorder="1"/>
    <xf numFmtId="0" fontId="19" fillId="16" borderId="6" xfId="0" applyFont="1" applyFill="1" applyBorder="1" applyAlignment="1">
      <alignment horizontal="left"/>
    </xf>
    <xf numFmtId="164" fontId="19" fillId="16" borderId="6" xfId="0" applyNumberFormat="1" applyFont="1" applyFill="1" applyBorder="1"/>
    <xf numFmtId="164" fontId="19" fillId="16" borderId="28" xfId="0" applyNumberFormat="1" applyFont="1" applyFill="1" applyBorder="1"/>
    <xf numFmtId="0" fontId="19" fillId="16" borderId="1" xfId="0" applyFont="1" applyFill="1" applyBorder="1" applyAlignment="1">
      <alignment horizontal="left"/>
    </xf>
    <xf numFmtId="164" fontId="19" fillId="16" borderId="1" xfId="0" applyNumberFormat="1" applyFont="1" applyFill="1" applyBorder="1"/>
    <xf numFmtId="164" fontId="19" fillId="16" borderId="7" xfId="0" applyNumberFormat="1" applyFont="1" applyFill="1" applyBorder="1"/>
    <xf numFmtId="0" fontId="19" fillId="16" borderId="2" xfId="0" applyFont="1" applyFill="1" applyBorder="1" applyAlignment="1">
      <alignment horizontal="left"/>
    </xf>
    <xf numFmtId="164" fontId="19" fillId="16" borderId="2" xfId="0" applyNumberFormat="1" applyFont="1" applyFill="1" applyBorder="1"/>
    <xf numFmtId="0" fontId="19" fillId="12" borderId="0" xfId="0" applyFont="1" applyFill="1" applyBorder="1" applyAlignment="1">
      <alignment horizontal="left"/>
    </xf>
    <xf numFmtId="0" fontId="19" fillId="12" borderId="0" xfId="0" applyFont="1" applyFill="1" applyBorder="1"/>
    <xf numFmtId="165" fontId="19" fillId="12" borderId="0" xfId="0" applyNumberFormat="1" applyFont="1" applyFill="1" applyBorder="1"/>
    <xf numFmtId="1" fontId="19" fillId="12" borderId="0" xfId="0" applyNumberFormat="1" applyFont="1" applyFill="1" applyBorder="1"/>
    <xf numFmtId="1" fontId="26" fillId="12" borderId="0" xfId="0" applyNumberFormat="1" applyFont="1" applyFill="1" applyBorder="1"/>
    <xf numFmtId="0" fontId="26" fillId="12" borderId="0" xfId="0" applyFont="1" applyFill="1" applyBorder="1" applyAlignment="1">
      <alignment horizontal="left"/>
    </xf>
    <xf numFmtId="164" fontId="19" fillId="12" borderId="0" xfId="0" applyNumberFormat="1" applyFont="1" applyFill="1" applyBorder="1"/>
    <xf numFmtId="0" fontId="19" fillId="14" borderId="55" xfId="0" applyFont="1" applyFill="1" applyBorder="1" applyAlignment="1" applyProtection="1">
      <alignment horizontal="left"/>
      <protection locked="0"/>
    </xf>
    <xf numFmtId="0" fontId="19" fillId="14" borderId="51" xfId="0" applyFont="1" applyFill="1" applyBorder="1" applyProtection="1">
      <protection locked="0"/>
    </xf>
    <xf numFmtId="0" fontId="19" fillId="14" borderId="57" xfId="0" applyFont="1" applyFill="1" applyBorder="1" applyProtection="1">
      <protection locked="0"/>
    </xf>
    <xf numFmtId="165" fontId="19" fillId="14" borderId="54" xfId="0" applyNumberFormat="1" applyFont="1" applyFill="1" applyBorder="1" applyProtection="1">
      <protection locked="0"/>
    </xf>
    <xf numFmtId="1" fontId="19" fillId="10" borderId="59" xfId="0" applyNumberFormat="1" applyFont="1" applyFill="1" applyBorder="1"/>
    <xf numFmtId="1" fontId="19" fillId="10" borderId="60" xfId="0" applyNumberFormat="1" applyFont="1" applyFill="1" applyBorder="1"/>
    <xf numFmtId="164" fontId="19" fillId="10" borderId="60" xfId="0" applyNumberFormat="1" applyFont="1" applyFill="1" applyBorder="1"/>
    <xf numFmtId="164" fontId="19" fillId="10" borderId="61" xfId="0" applyNumberFormat="1" applyFont="1" applyFill="1" applyBorder="1"/>
    <xf numFmtId="165" fontId="30" fillId="12" borderId="51" xfId="0" applyNumberFormat="1" applyFont="1" applyFill="1" applyBorder="1" applyAlignment="1">
      <alignment horizontal="center"/>
    </xf>
    <xf numFmtId="0" fontId="31" fillId="9" borderId="0" xfId="0" applyFont="1" applyFill="1" applyBorder="1"/>
    <xf numFmtId="0" fontId="31" fillId="0" borderId="0" xfId="0" applyFont="1" applyBorder="1"/>
    <xf numFmtId="0" fontId="31" fillId="7" borderId="0" xfId="0" applyFont="1" applyFill="1" applyBorder="1"/>
    <xf numFmtId="0" fontId="31" fillId="0" borderId="0" xfId="0" applyFont="1" applyFill="1" applyBorder="1"/>
    <xf numFmtId="164" fontId="23" fillId="16" borderId="6" xfId="0" applyNumberFormat="1" applyFont="1" applyFill="1" applyBorder="1" applyAlignment="1">
      <alignment horizontal="left"/>
    </xf>
    <xf numFmtId="164" fontId="23" fillId="16" borderId="6" xfId="0" applyNumberFormat="1" applyFont="1" applyFill="1" applyBorder="1"/>
    <xf numFmtId="1" fontId="23" fillId="16" borderId="6" xfId="0" applyNumberFormat="1" applyFont="1" applyFill="1" applyBorder="1"/>
    <xf numFmtId="164" fontId="22" fillId="16" borderId="6" xfId="0" applyNumberFormat="1" applyFont="1" applyFill="1" applyBorder="1"/>
    <xf numFmtId="164" fontId="23" fillId="16" borderId="1" xfId="0" applyNumberFormat="1" applyFont="1" applyFill="1" applyBorder="1" applyAlignment="1">
      <alignment horizontal="left"/>
    </xf>
    <xf numFmtId="164" fontId="23" fillId="16" borderId="1" xfId="0" applyNumberFormat="1" applyFont="1" applyFill="1" applyBorder="1"/>
    <xf numFmtId="1" fontId="23" fillId="16" borderId="1" xfId="0" applyNumberFormat="1" applyFont="1" applyFill="1" applyBorder="1"/>
    <xf numFmtId="0" fontId="23" fillId="16" borderId="1" xfId="0" applyFont="1" applyFill="1" applyBorder="1" applyAlignment="1">
      <alignment horizontal="right" wrapText="1"/>
    </xf>
    <xf numFmtId="164" fontId="32" fillId="18" borderId="50" xfId="0" applyNumberFormat="1" applyFont="1" applyFill="1" applyBorder="1" applyAlignment="1">
      <alignment horizontal="left"/>
    </xf>
    <xf numFmtId="164" fontId="32" fillId="18" borderId="51" xfId="0" applyNumberFormat="1" applyFont="1" applyFill="1" applyBorder="1" applyAlignment="1">
      <alignment horizontal="left"/>
    </xf>
    <xf numFmtId="1" fontId="32" fillId="18" borderId="51" xfId="0" applyNumberFormat="1" applyFont="1" applyFill="1" applyBorder="1" applyAlignment="1">
      <alignment horizontal="left"/>
    </xf>
    <xf numFmtId="1" fontId="32" fillId="18" borderId="51" xfId="0" applyNumberFormat="1" applyFont="1" applyFill="1" applyBorder="1" applyAlignment="1">
      <alignment horizontal="right"/>
    </xf>
    <xf numFmtId="164" fontId="31" fillId="18" borderId="52" xfId="0" applyNumberFormat="1" applyFont="1" applyFill="1" applyBorder="1"/>
    <xf numFmtId="0" fontId="32" fillId="18" borderId="50" xfId="0" applyFont="1" applyFill="1" applyBorder="1" applyAlignment="1">
      <alignment horizontal="left"/>
    </xf>
    <xf numFmtId="0" fontId="32" fillId="18" borderId="51" xfId="0" applyFont="1" applyFill="1" applyBorder="1" applyAlignment="1">
      <alignment horizontal="left"/>
    </xf>
    <xf numFmtId="0" fontId="23" fillId="8" borderId="62" xfId="0" applyFont="1" applyFill="1" applyBorder="1" applyAlignment="1">
      <alignment horizontal="left"/>
    </xf>
    <xf numFmtId="164" fontId="25" fillId="8" borderId="2" xfId="0" applyNumberFormat="1" applyFont="1" applyFill="1" applyBorder="1" applyAlignment="1">
      <alignment horizontal="center"/>
    </xf>
    <xf numFmtId="1" fontId="25" fillId="8" borderId="2" xfId="0" applyNumberFormat="1" applyFont="1" applyFill="1" applyBorder="1"/>
    <xf numFmtId="164" fontId="25" fillId="8" borderId="2" xfId="0" applyNumberFormat="1" applyFont="1" applyFill="1" applyBorder="1"/>
    <xf numFmtId="1" fontId="32" fillId="18" borderId="55" xfId="0" applyNumberFormat="1" applyFont="1" applyFill="1" applyBorder="1" applyAlignment="1">
      <alignment horizontal="left"/>
    </xf>
    <xf numFmtId="0" fontId="32" fillId="18" borderId="57" xfId="0" applyFont="1" applyFill="1" applyBorder="1" applyAlignment="1">
      <alignment horizontal="left"/>
    </xf>
    <xf numFmtId="1" fontId="32" fillId="18" borderId="57" xfId="0" applyNumberFormat="1" applyFont="1" applyFill="1" applyBorder="1" applyAlignment="1">
      <alignment horizontal="right"/>
    </xf>
    <xf numFmtId="164" fontId="31" fillId="18" borderId="51" xfId="0" applyNumberFormat="1" applyFont="1" applyFill="1" applyBorder="1"/>
    <xf numFmtId="0" fontId="31" fillId="19" borderId="51" xfId="0" applyFont="1" applyFill="1" applyBorder="1"/>
    <xf numFmtId="0" fontId="31" fillId="20" borderId="51" xfId="0" applyFont="1" applyFill="1" applyBorder="1"/>
    <xf numFmtId="0" fontId="31" fillId="21" borderId="63" xfId="0" applyFont="1" applyFill="1" applyBorder="1" applyAlignment="1">
      <alignment horizontal="center" wrapText="1"/>
    </xf>
    <xf numFmtId="0" fontId="31" fillId="21" borderId="64" xfId="0" applyFont="1" applyFill="1" applyBorder="1" applyAlignment="1">
      <alignment horizontal="center" wrapText="1"/>
    </xf>
    <xf numFmtId="0" fontId="23" fillId="16" borderId="6" xfId="0" applyFont="1" applyFill="1" applyBorder="1" applyAlignment="1">
      <alignment horizontal="left"/>
    </xf>
    <xf numFmtId="164" fontId="23" fillId="16" borderId="1" xfId="0" applyNumberFormat="1" applyFont="1" applyFill="1" applyBorder="1" applyAlignment="1">
      <alignment horizontal="right" wrapText="1"/>
    </xf>
    <xf numFmtId="0" fontId="23" fillId="16" borderId="2" xfId="0" applyFont="1" applyFill="1" applyBorder="1" applyAlignment="1">
      <alignment horizontal="left"/>
    </xf>
    <xf numFmtId="164" fontId="23" fillId="16" borderId="2" xfId="0" applyNumberFormat="1" applyFont="1" applyFill="1" applyBorder="1" applyAlignment="1">
      <alignment horizontal="right" wrapText="1"/>
    </xf>
    <xf numFmtId="1" fontId="23" fillId="16" borderId="2" xfId="0" applyNumberFormat="1" applyFont="1" applyFill="1" applyBorder="1"/>
    <xf numFmtId="164" fontId="23" fillId="16" borderId="2" xfId="0" applyNumberFormat="1" applyFont="1" applyFill="1" applyBorder="1"/>
    <xf numFmtId="164" fontId="22" fillId="16" borderId="2" xfId="0" applyNumberFormat="1" applyFont="1" applyFill="1" applyBorder="1"/>
    <xf numFmtId="164" fontId="23" fillId="16" borderId="6" xfId="0" applyNumberFormat="1" applyFont="1" applyFill="1" applyBorder="1" applyAlignment="1">
      <alignment horizontal="right" wrapText="1"/>
    </xf>
    <xf numFmtId="164" fontId="23" fillId="16" borderId="2" xfId="0" applyNumberFormat="1" applyFont="1" applyFill="1" applyBorder="1" applyAlignment="1">
      <alignment horizontal="left"/>
    </xf>
    <xf numFmtId="1" fontId="19" fillId="16" borderId="6" xfId="0" applyNumberFormat="1" applyFont="1" applyFill="1" applyBorder="1"/>
    <xf numFmtId="0" fontId="23" fillId="16" borderId="1" xfId="0" applyFont="1" applyFill="1" applyBorder="1" applyAlignment="1">
      <alignment wrapText="1"/>
    </xf>
    <xf numFmtId="0" fontId="23" fillId="16" borderId="2" xfId="0" applyFont="1" applyFill="1" applyBorder="1" applyAlignment="1">
      <alignment horizontal="right" wrapText="1"/>
    </xf>
    <xf numFmtId="164" fontId="23" fillId="16" borderId="6" xfId="0" applyNumberFormat="1" applyFont="1" applyFill="1" applyBorder="1" applyAlignment="1">
      <alignment horizontal="right"/>
    </xf>
    <xf numFmtId="0" fontId="23" fillId="16" borderId="0" xfId="0" applyFont="1" applyFill="1" applyBorder="1" applyAlignment="1">
      <alignment horizontal="left"/>
    </xf>
    <xf numFmtId="164" fontId="23" fillId="16" borderId="58" xfId="0" applyNumberFormat="1" applyFont="1" applyFill="1" applyBorder="1"/>
    <xf numFmtId="1" fontId="0" fillId="5" borderId="17" xfId="0" applyNumberFormat="1" applyFont="1" applyFill="1" applyBorder="1" applyAlignment="1" applyProtection="1">
      <alignment horizontal="right"/>
      <protection locked="0"/>
    </xf>
    <xf numFmtId="0" fontId="23" fillId="23" borderId="55" xfId="0" applyFont="1" applyFill="1" applyBorder="1" applyAlignment="1" applyProtection="1">
      <alignment horizontal="left"/>
      <protection locked="0"/>
    </xf>
    <xf numFmtId="164" fontId="23" fillId="23" borderId="56" xfId="0" applyNumberFormat="1" applyFont="1" applyFill="1" applyBorder="1" applyProtection="1">
      <protection locked="0"/>
    </xf>
    <xf numFmtId="164" fontId="23" fillId="23" borderId="51" xfId="0" applyNumberFormat="1" applyFont="1" applyFill="1" applyBorder="1" applyProtection="1">
      <protection locked="0"/>
    </xf>
    <xf numFmtId="164" fontId="23" fillId="23" borderId="52" xfId="0" applyNumberFormat="1" applyFont="1" applyFill="1" applyBorder="1" applyProtection="1">
      <protection locked="0"/>
    </xf>
    <xf numFmtId="1" fontId="23" fillId="23" borderId="33" xfId="0" applyNumberFormat="1" applyFont="1" applyFill="1" applyBorder="1" applyProtection="1">
      <protection locked="0"/>
    </xf>
    <xf numFmtId="164" fontId="23" fillId="16" borderId="28" xfId="0" applyNumberFormat="1" applyFont="1" applyFill="1" applyBorder="1"/>
    <xf numFmtId="164" fontId="23" fillId="16" borderId="7" xfId="0" applyNumberFormat="1" applyFont="1" applyFill="1" applyBorder="1"/>
    <xf numFmtId="164" fontId="23" fillId="16" borderId="29" xfId="0" applyNumberFormat="1" applyFont="1" applyFill="1" applyBorder="1"/>
    <xf numFmtId="164" fontId="23" fillId="16" borderId="17" xfId="0" applyNumberFormat="1" applyFont="1" applyFill="1" applyBorder="1"/>
    <xf numFmtId="1" fontId="0" fillId="14" borderId="65" xfId="0" applyNumberFormat="1" applyFont="1" applyFill="1" applyBorder="1" applyAlignment="1" applyProtection="1">
      <alignment horizontal="right"/>
      <protection locked="0"/>
    </xf>
    <xf numFmtId="1" fontId="0" fillId="14" borderId="47" xfId="0" applyNumberFormat="1" applyFont="1" applyFill="1" applyBorder="1" applyAlignment="1" applyProtection="1">
      <alignment horizontal="right"/>
      <protection locked="0"/>
    </xf>
    <xf numFmtId="1" fontId="0" fillId="14" borderId="48" xfId="0" applyNumberFormat="1" applyFont="1" applyFill="1" applyBorder="1" applyAlignment="1" applyProtection="1">
      <alignment horizontal="right"/>
      <protection locked="0"/>
    </xf>
    <xf numFmtId="164" fontId="23" fillId="16" borderId="26" xfId="0" applyNumberFormat="1" applyFont="1" applyFill="1" applyBorder="1"/>
    <xf numFmtId="1" fontId="19" fillId="16" borderId="29" xfId="0" applyNumberFormat="1" applyFont="1" applyFill="1" applyBorder="1"/>
    <xf numFmtId="164" fontId="23" fillId="16" borderId="27" xfId="0" applyNumberFormat="1" applyFont="1" applyFill="1" applyBorder="1"/>
    <xf numFmtId="165" fontId="19" fillId="14" borderId="65" xfId="0" applyNumberFormat="1" applyFont="1" applyFill="1" applyBorder="1" applyProtection="1">
      <protection locked="0"/>
    </xf>
    <xf numFmtId="1" fontId="23" fillId="14" borderId="47" xfId="0" applyNumberFormat="1" applyFont="1" applyFill="1" applyBorder="1" applyAlignment="1" applyProtection="1">
      <alignment horizontal="right"/>
      <protection locked="0"/>
    </xf>
    <xf numFmtId="1" fontId="23" fillId="14" borderId="53" xfId="0" applyNumberFormat="1" applyFont="1" applyFill="1" applyBorder="1" applyAlignment="1" applyProtection="1">
      <alignment horizontal="right"/>
      <protection locked="0"/>
    </xf>
    <xf numFmtId="1" fontId="23" fillId="14" borderId="48" xfId="0" applyNumberFormat="1" applyFont="1" applyFill="1" applyBorder="1" applyAlignment="1" applyProtection="1">
      <alignment horizontal="right"/>
      <protection locked="0"/>
    </xf>
    <xf numFmtId="164" fontId="32" fillId="18" borderId="51" xfId="0" applyNumberFormat="1" applyFont="1" applyFill="1" applyBorder="1"/>
    <xf numFmtId="164" fontId="23" fillId="25" borderId="1" xfId="0" applyNumberFormat="1" applyFont="1" applyFill="1" applyBorder="1"/>
    <xf numFmtId="164" fontId="19" fillId="25" borderId="6" xfId="0" applyNumberFormat="1" applyFont="1" applyFill="1" applyBorder="1"/>
    <xf numFmtId="164" fontId="19" fillId="25" borderId="1" xfId="0" applyNumberFormat="1" applyFont="1" applyFill="1" applyBorder="1"/>
    <xf numFmtId="164" fontId="23" fillId="25" borderId="2" xfId="0" applyNumberFormat="1" applyFont="1" applyFill="1" applyBorder="1"/>
    <xf numFmtId="164" fontId="23" fillId="25" borderId="26" xfId="0" applyNumberFormat="1" applyFont="1" applyFill="1" applyBorder="1"/>
    <xf numFmtId="164" fontId="23" fillId="25" borderId="5" xfId="0" applyNumberFormat="1" applyFont="1" applyFill="1" applyBorder="1"/>
    <xf numFmtId="0" fontId="23" fillId="16" borderId="66" xfId="0" applyFont="1" applyFill="1" applyBorder="1" applyAlignment="1">
      <alignment horizontal="left"/>
    </xf>
    <xf numFmtId="0" fontId="23" fillId="16" borderId="18" xfId="0" applyFont="1" applyFill="1" applyBorder="1" applyAlignment="1">
      <alignment horizontal="left"/>
    </xf>
    <xf numFmtId="164" fontId="23" fillId="16" borderId="1" xfId="0" applyNumberFormat="1" applyFont="1" applyFill="1" applyBorder="1" applyAlignment="1">
      <alignment horizontal="center"/>
    </xf>
    <xf numFmtId="164" fontId="19" fillId="16" borderId="17" xfId="0" applyNumberFormat="1" applyFont="1" applyFill="1" applyBorder="1"/>
    <xf numFmtId="164" fontId="19" fillId="16" borderId="27" xfId="0" applyNumberFormat="1" applyFont="1" applyFill="1" applyBorder="1"/>
    <xf numFmtId="164" fontId="19" fillId="16" borderId="29" xfId="0" applyNumberFormat="1" applyFont="1" applyFill="1" applyBorder="1"/>
    <xf numFmtId="1" fontId="26" fillId="25" borderId="3" xfId="0" applyNumberFormat="1" applyFont="1" applyFill="1" applyBorder="1" applyAlignment="1">
      <alignment horizontal="left"/>
    </xf>
    <xf numFmtId="1" fontId="0" fillId="14" borderId="49" xfId="0" applyNumberFormat="1" applyFont="1" applyFill="1" applyBorder="1" applyAlignment="1" applyProtection="1">
      <alignment horizontal="right"/>
      <protection locked="0"/>
    </xf>
    <xf numFmtId="164" fontId="31" fillId="18" borderId="54" xfId="0" applyNumberFormat="1" applyFont="1" applyFill="1" applyBorder="1"/>
    <xf numFmtId="1" fontId="32" fillId="18" borderId="50" xfId="0" applyNumberFormat="1" applyFont="1" applyFill="1" applyBorder="1" applyAlignment="1">
      <alignment horizontal="center"/>
    </xf>
    <xf numFmtId="1" fontId="32" fillId="18" borderId="51" xfId="0" applyNumberFormat="1" applyFont="1" applyFill="1" applyBorder="1" applyAlignment="1" applyProtection="1">
      <alignment horizontal="right"/>
      <protection locked="0"/>
    </xf>
    <xf numFmtId="0" fontId="32" fillId="19" borderId="51" xfId="0" applyFont="1" applyFill="1" applyBorder="1"/>
    <xf numFmtId="0" fontId="32" fillId="20" borderId="51" xfId="0" applyFont="1" applyFill="1" applyBorder="1"/>
    <xf numFmtId="164" fontId="23" fillId="25" borderId="28" xfId="0" applyNumberFormat="1" applyFont="1" applyFill="1" applyBorder="1"/>
    <xf numFmtId="164" fontId="23" fillId="25" borderId="7" xfId="0" applyNumberFormat="1" applyFont="1" applyFill="1" applyBorder="1"/>
    <xf numFmtId="164" fontId="23" fillId="23" borderId="50" xfId="0" applyNumberFormat="1" applyFont="1" applyFill="1" applyBorder="1" applyProtection="1">
      <protection locked="0"/>
    </xf>
    <xf numFmtId="1" fontId="0" fillId="23" borderId="54" xfId="0" applyNumberFormat="1" applyFont="1" applyFill="1" applyBorder="1" applyAlignment="1" applyProtection="1">
      <alignment horizontal="right"/>
      <protection locked="0"/>
    </xf>
    <xf numFmtId="164" fontId="23" fillId="26" borderId="17" xfId="0" applyNumberFormat="1" applyFont="1" applyFill="1" applyBorder="1"/>
    <xf numFmtId="164" fontId="23" fillId="26" borderId="1" xfId="0" applyNumberFormat="1" applyFont="1" applyFill="1" applyBorder="1"/>
    <xf numFmtId="164" fontId="22" fillId="26" borderId="1" xfId="0" applyNumberFormat="1" applyFont="1" applyFill="1" applyBorder="1"/>
    <xf numFmtId="164" fontId="23" fillId="26" borderId="58" xfId="0" applyNumberFormat="1" applyFont="1" applyFill="1" applyBorder="1"/>
    <xf numFmtId="164" fontId="23" fillId="26" borderId="1" xfId="0" applyNumberFormat="1" applyFont="1" applyFill="1" applyBorder="1" applyAlignment="1">
      <alignment horizontal="left"/>
    </xf>
    <xf numFmtId="1" fontId="23" fillId="26" borderId="1" xfId="0" applyNumberFormat="1" applyFont="1" applyFill="1" applyBorder="1"/>
    <xf numFmtId="164" fontId="19" fillId="26" borderId="1" xfId="0" applyNumberFormat="1" applyFont="1" applyFill="1" applyBorder="1"/>
    <xf numFmtId="164" fontId="25" fillId="26" borderId="2" xfId="0" applyNumberFormat="1" applyFont="1" applyFill="1" applyBorder="1"/>
    <xf numFmtId="0" fontId="23" fillId="26" borderId="62" xfId="0" applyFont="1" applyFill="1" applyBorder="1" applyAlignment="1">
      <alignment horizontal="left"/>
    </xf>
    <xf numFmtId="164" fontId="23" fillId="26" borderId="2" xfId="0" applyNumberFormat="1" applyFont="1" applyFill="1" applyBorder="1" applyAlignment="1">
      <alignment horizontal="center"/>
    </xf>
    <xf numFmtId="164" fontId="25" fillId="26" borderId="2" xfId="0" applyNumberFormat="1" applyFont="1" applyFill="1" applyBorder="1" applyAlignment="1">
      <alignment horizontal="center"/>
    </xf>
    <xf numFmtId="1" fontId="25" fillId="26" borderId="2" xfId="0" applyNumberFormat="1" applyFont="1" applyFill="1" applyBorder="1"/>
    <xf numFmtId="0" fontId="0" fillId="14" borderId="1" xfId="0" applyFont="1" applyFill="1" applyBorder="1" applyProtection="1">
      <protection locked="0"/>
    </xf>
    <xf numFmtId="164" fontId="23" fillId="26" borderId="7" xfId="0" applyNumberFormat="1" applyFont="1" applyFill="1" applyBorder="1"/>
    <xf numFmtId="164" fontId="33" fillId="27" borderId="55" xfId="0" applyNumberFormat="1" applyFont="1" applyFill="1" applyBorder="1" applyAlignment="1">
      <alignment horizontal="center"/>
    </xf>
    <xf numFmtId="0" fontId="33" fillId="27" borderId="57" xfId="0" applyFont="1" applyFill="1" applyBorder="1" applyAlignment="1">
      <alignment horizontal="center"/>
    </xf>
    <xf numFmtId="1" fontId="33" fillId="27" borderId="57" xfId="0" applyNumberFormat="1" applyFont="1" applyFill="1" applyBorder="1" applyAlignment="1">
      <alignment horizontal="center"/>
    </xf>
    <xf numFmtId="164" fontId="33" fillId="27" borderId="57" xfId="0" applyNumberFormat="1" applyFont="1" applyFill="1" applyBorder="1"/>
    <xf numFmtId="1" fontId="33" fillId="27" borderId="57" xfId="0" applyNumberFormat="1" applyFont="1" applyFill="1" applyBorder="1" applyAlignment="1" applyProtection="1">
      <alignment horizontal="right"/>
      <protection locked="0"/>
    </xf>
    <xf numFmtId="164" fontId="33" fillId="27" borderId="54" xfId="0" applyNumberFormat="1" applyFont="1" applyFill="1" applyBorder="1"/>
    <xf numFmtId="164" fontId="30" fillId="27" borderId="52" xfId="0" applyNumberFormat="1" applyFont="1" applyFill="1" applyBorder="1"/>
    <xf numFmtId="164" fontId="33" fillId="27" borderId="50" xfId="0" applyNumberFormat="1" applyFont="1" applyFill="1" applyBorder="1" applyAlignment="1">
      <alignment horizontal="left"/>
    </xf>
    <xf numFmtId="164" fontId="33" fillId="27" borderId="51" xfId="0" applyNumberFormat="1" applyFont="1" applyFill="1" applyBorder="1" applyAlignment="1">
      <alignment horizontal="left"/>
    </xf>
    <xf numFmtId="1" fontId="33" fillId="27" borderId="51" xfId="0" applyNumberFormat="1" applyFont="1" applyFill="1" applyBorder="1" applyAlignment="1">
      <alignment horizontal="left"/>
    </xf>
    <xf numFmtId="1" fontId="33" fillId="27" borderId="51" xfId="0" applyNumberFormat="1" applyFont="1" applyFill="1" applyBorder="1" applyAlignment="1">
      <alignment horizontal="right"/>
    </xf>
    <xf numFmtId="0" fontId="33" fillId="27" borderId="50" xfId="0" applyFont="1" applyFill="1" applyBorder="1" applyAlignment="1">
      <alignment horizontal="left"/>
    </xf>
    <xf numFmtId="0" fontId="33" fillId="27" borderId="51" xfId="0" applyFont="1" applyFill="1" applyBorder="1" applyAlignment="1">
      <alignment horizontal="left"/>
    </xf>
    <xf numFmtId="0" fontId="32" fillId="28" borderId="35" xfId="0" applyFont="1" applyFill="1" applyBorder="1" applyAlignment="1"/>
    <xf numFmtId="165" fontId="32" fillId="28" borderId="44" xfId="0" applyNumberFormat="1" applyFont="1" applyFill="1" applyBorder="1" applyAlignment="1">
      <alignment horizontal="center"/>
    </xf>
    <xf numFmtId="164" fontId="32" fillId="28" borderId="36" xfId="0" applyNumberFormat="1" applyFont="1" applyFill="1" applyBorder="1" applyAlignment="1">
      <alignment horizontal="center"/>
    </xf>
    <xf numFmtId="164" fontId="32" fillId="28" borderId="37" xfId="0" applyNumberFormat="1" applyFont="1" applyFill="1" applyBorder="1" applyAlignment="1">
      <alignment horizontal="center"/>
    </xf>
    <xf numFmtId="0" fontId="32" fillId="28" borderId="39" xfId="0" applyFont="1" applyFill="1" applyBorder="1" applyAlignment="1">
      <alignment horizontal="center"/>
    </xf>
    <xf numFmtId="0" fontId="32" fillId="28" borderId="40" xfId="0" applyFont="1" applyFill="1" applyBorder="1" applyAlignment="1">
      <alignment horizontal="center"/>
    </xf>
    <xf numFmtId="0" fontId="32" fillId="28" borderId="40" xfId="0" applyFont="1" applyFill="1" applyBorder="1"/>
    <xf numFmtId="0" fontId="32" fillId="28" borderId="26" xfId="0" applyFont="1" applyFill="1" applyBorder="1"/>
    <xf numFmtId="1" fontId="32" fillId="28" borderId="27" xfId="0" applyNumberFormat="1" applyFont="1" applyFill="1" applyBorder="1" applyAlignment="1">
      <alignment horizontal="center"/>
    </xf>
    <xf numFmtId="1" fontId="32" fillId="28" borderId="40" xfId="0" applyNumberFormat="1" applyFont="1" applyFill="1" applyBorder="1" applyAlignment="1">
      <alignment horizontal="center"/>
    </xf>
    <xf numFmtId="1" fontId="32" fillId="28" borderId="41" xfId="0" applyNumberFormat="1" applyFont="1" applyFill="1" applyBorder="1" applyAlignment="1">
      <alignment horizontal="center"/>
    </xf>
    <xf numFmtId="164" fontId="32" fillId="28" borderId="42" xfId="0" applyNumberFormat="1" applyFont="1" applyFill="1" applyBorder="1" applyAlignment="1">
      <alignment horizontal="center"/>
    </xf>
    <xf numFmtId="164" fontId="32" fillId="28" borderId="43" xfId="0" applyNumberFormat="1" applyFont="1" applyFill="1" applyBorder="1" applyAlignment="1">
      <alignment horizontal="center"/>
    </xf>
    <xf numFmtId="165" fontId="32" fillId="28" borderId="45" xfId="0" applyNumberFormat="1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0" fillId="29" borderId="0" xfId="0" applyFont="1" applyFill="1" applyBorder="1"/>
    <xf numFmtId="0" fontId="1" fillId="29" borderId="0" xfId="0" applyFont="1" applyFill="1" applyBorder="1"/>
    <xf numFmtId="0" fontId="0" fillId="13" borderId="0" xfId="0" applyFill="1"/>
    <xf numFmtId="164" fontId="0" fillId="29" borderId="0" xfId="0" applyNumberFormat="1" applyFont="1" applyFill="1" applyBorder="1"/>
    <xf numFmtId="0" fontId="0" fillId="13" borderId="0" xfId="0" applyFont="1" applyFill="1" applyBorder="1"/>
    <xf numFmtId="164" fontId="0" fillId="13" borderId="0" xfId="0" applyNumberFormat="1" applyFont="1" applyFill="1" applyBorder="1"/>
    <xf numFmtId="164" fontId="11" fillId="14" borderId="34" xfId="0" applyNumberFormat="1" applyFont="1" applyFill="1" applyBorder="1" applyProtection="1">
      <protection locked="0"/>
    </xf>
    <xf numFmtId="164" fontId="11" fillId="14" borderId="67" xfId="0" applyNumberFormat="1" applyFont="1" applyFill="1" applyBorder="1" applyProtection="1">
      <protection locked="0"/>
    </xf>
    <xf numFmtId="164" fontId="11" fillId="14" borderId="1" xfId="0" applyNumberFormat="1" applyFont="1" applyFill="1" applyBorder="1" applyProtection="1">
      <protection locked="0"/>
    </xf>
    <xf numFmtId="164" fontId="11" fillId="14" borderId="68" xfId="0" applyNumberFormat="1" applyFont="1" applyFill="1" applyBorder="1" applyProtection="1">
      <protection locked="0"/>
    </xf>
    <xf numFmtId="164" fontId="11" fillId="14" borderId="38" xfId="0" applyNumberFormat="1" applyFont="1" applyFill="1" applyBorder="1" applyProtection="1">
      <protection locked="0"/>
    </xf>
    <xf numFmtId="164" fontId="11" fillId="14" borderId="40" xfId="0" applyNumberFormat="1" applyFont="1" applyFill="1" applyBorder="1" applyProtection="1">
      <protection locked="0"/>
    </xf>
    <xf numFmtId="164" fontId="11" fillId="14" borderId="69" xfId="0" applyNumberFormat="1" applyFont="1" applyFill="1" applyBorder="1" applyProtection="1">
      <protection locked="0"/>
    </xf>
    <xf numFmtId="164" fontId="11" fillId="29" borderId="17" xfId="0" applyNumberFormat="1" applyFont="1" applyFill="1" applyBorder="1"/>
    <xf numFmtId="0" fontId="7" fillId="29" borderId="1" xfId="0" applyFont="1" applyFill="1" applyBorder="1"/>
    <xf numFmtId="0" fontId="7" fillId="29" borderId="7" xfId="0" applyFont="1" applyFill="1" applyBorder="1"/>
    <xf numFmtId="0" fontId="26" fillId="2" borderId="0" xfId="0" applyFont="1" applyFill="1" applyBorder="1"/>
    <xf numFmtId="164" fontId="26" fillId="2" borderId="2" xfId="0" applyNumberFormat="1" applyFont="1" applyFill="1" applyBorder="1" applyAlignment="1">
      <alignment horizontal="center"/>
    </xf>
    <xf numFmtId="164" fontId="26" fillId="2" borderId="26" xfId="0" applyNumberFormat="1" applyFont="1" applyFill="1" applyBorder="1" applyAlignment="1">
      <alignment horizontal="center"/>
    </xf>
    <xf numFmtId="164" fontId="26" fillId="2" borderId="4" xfId="0" applyNumberFormat="1" applyFont="1" applyFill="1" applyBorder="1" applyAlignment="1">
      <alignment horizontal="center"/>
    </xf>
    <xf numFmtId="164" fontId="26" fillId="2" borderId="8" xfId="0" applyNumberFormat="1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/>
    </xf>
    <xf numFmtId="0" fontId="36" fillId="2" borderId="3" xfId="0" applyFont="1" applyFill="1" applyBorder="1" applyAlignment="1">
      <alignment horizontal="center"/>
    </xf>
    <xf numFmtId="164" fontId="8" fillId="23" borderId="33" xfId="0" applyNumberFormat="1" applyFont="1" applyFill="1" applyBorder="1" applyAlignment="1" applyProtection="1">
      <alignment horizontal="center" vertical="center"/>
      <protection locked="0"/>
    </xf>
    <xf numFmtId="164" fontId="13" fillId="14" borderId="33" xfId="0" applyNumberFormat="1" applyFont="1" applyFill="1" applyBorder="1" applyAlignment="1" applyProtection="1">
      <alignment horizontal="center" vertical="center"/>
      <protection locked="0"/>
    </xf>
    <xf numFmtId="0" fontId="19" fillId="14" borderId="33" xfId="0" applyFont="1" applyFill="1" applyBorder="1" applyProtection="1">
      <protection locked="0"/>
    </xf>
    <xf numFmtId="1" fontId="21" fillId="12" borderId="0" xfId="0" applyNumberFormat="1" applyFont="1" applyFill="1" applyBorder="1" applyAlignment="1">
      <alignment horizontal="center"/>
    </xf>
    <xf numFmtId="0" fontId="21" fillId="12" borderId="0" xfId="0" applyFont="1" applyFill="1" applyBorder="1" applyAlignment="1">
      <alignment horizontal="center"/>
    </xf>
    <xf numFmtId="164" fontId="21" fillId="12" borderId="0" xfId="0" applyNumberFormat="1" applyFont="1" applyFill="1" applyBorder="1" applyAlignment="1">
      <alignment horizontal="center"/>
    </xf>
    <xf numFmtId="0" fontId="21" fillId="12" borderId="0" xfId="0" applyFont="1" applyFill="1" applyBorder="1"/>
    <xf numFmtId="165" fontId="37" fillId="12" borderId="33" xfId="0" applyNumberFormat="1" applyFont="1" applyFill="1" applyBorder="1"/>
    <xf numFmtId="0" fontId="32" fillId="30" borderId="35" xfId="0" applyFont="1" applyFill="1" applyBorder="1" applyAlignment="1"/>
    <xf numFmtId="165" fontId="32" fillId="30" borderId="44" xfId="0" applyNumberFormat="1" applyFont="1" applyFill="1" applyBorder="1" applyAlignment="1">
      <alignment horizontal="center"/>
    </xf>
    <xf numFmtId="164" fontId="32" fillId="30" borderId="36" xfId="0" applyNumberFormat="1" applyFont="1" applyFill="1" applyBorder="1" applyAlignment="1">
      <alignment horizontal="center"/>
    </xf>
    <xf numFmtId="164" fontId="32" fillId="30" borderId="37" xfId="0" applyNumberFormat="1" applyFont="1" applyFill="1" applyBorder="1" applyAlignment="1">
      <alignment horizontal="center"/>
    </xf>
    <xf numFmtId="0" fontId="32" fillId="30" borderId="39" xfId="0" applyFont="1" applyFill="1" applyBorder="1" applyAlignment="1">
      <alignment horizontal="center"/>
    </xf>
    <xf numFmtId="0" fontId="32" fillId="30" borderId="40" xfId="0" applyFont="1" applyFill="1" applyBorder="1" applyAlignment="1">
      <alignment horizontal="center"/>
    </xf>
    <xf numFmtId="0" fontId="32" fillId="30" borderId="40" xfId="0" applyFont="1" applyFill="1" applyBorder="1"/>
    <xf numFmtId="0" fontId="32" fillId="30" borderId="26" xfId="0" applyFont="1" applyFill="1" applyBorder="1"/>
    <xf numFmtId="165" fontId="32" fillId="30" borderId="46" xfId="0" applyNumberFormat="1" applyFont="1" applyFill="1" applyBorder="1" applyAlignment="1">
      <alignment horizontal="center"/>
    </xf>
    <xf numFmtId="1" fontId="32" fillId="30" borderId="27" xfId="0" applyNumberFormat="1" applyFont="1" applyFill="1" applyBorder="1" applyAlignment="1">
      <alignment horizontal="center"/>
    </xf>
    <xf numFmtId="1" fontId="32" fillId="30" borderId="40" xfId="0" applyNumberFormat="1" applyFont="1" applyFill="1" applyBorder="1" applyAlignment="1">
      <alignment horizontal="center"/>
    </xf>
    <xf numFmtId="1" fontId="32" fillId="30" borderId="41" xfId="0" applyNumberFormat="1" applyFont="1" applyFill="1" applyBorder="1" applyAlignment="1">
      <alignment horizontal="center"/>
    </xf>
    <xf numFmtId="164" fontId="32" fillId="30" borderId="42" xfId="0" applyNumberFormat="1" applyFont="1" applyFill="1" applyBorder="1" applyAlignment="1">
      <alignment horizontal="center"/>
    </xf>
    <xf numFmtId="164" fontId="32" fillId="30" borderId="43" xfId="0" applyNumberFormat="1" applyFont="1" applyFill="1" applyBorder="1" applyAlignment="1">
      <alignment horizontal="center"/>
    </xf>
    <xf numFmtId="164" fontId="34" fillId="8" borderId="0" xfId="0" applyNumberFormat="1" applyFont="1" applyFill="1" applyBorder="1" applyAlignment="1">
      <alignment horizontal="center"/>
    </xf>
    <xf numFmtId="0" fontId="34" fillId="8" borderId="0" xfId="0" applyFont="1" applyFill="1" applyBorder="1" applyAlignment="1">
      <alignment horizontal="left"/>
    </xf>
    <xf numFmtId="164" fontId="34" fillId="8" borderId="0" xfId="0" applyNumberFormat="1" applyFont="1" applyFill="1" applyBorder="1"/>
    <xf numFmtId="164" fontId="34" fillId="2" borderId="0" xfId="0" applyNumberFormat="1" applyFont="1" applyFill="1" applyBorder="1" applyAlignment="1">
      <alignment horizontal="center"/>
    </xf>
    <xf numFmtId="0" fontId="23" fillId="16" borderId="70" xfId="0" applyFont="1" applyFill="1" applyBorder="1" applyAlignment="1">
      <alignment horizontal="left"/>
    </xf>
    <xf numFmtId="164" fontId="23" fillId="10" borderId="6" xfId="0" applyNumberFormat="1" applyFont="1" applyFill="1" applyBorder="1" applyAlignment="1">
      <alignment horizontal="left"/>
    </xf>
    <xf numFmtId="164" fontId="23" fillId="10" borderId="1" xfId="0" applyNumberFormat="1" applyFont="1" applyFill="1" applyBorder="1" applyAlignment="1">
      <alignment horizontal="left"/>
    </xf>
    <xf numFmtId="164" fontId="23" fillId="10" borderId="2" xfId="0" applyNumberFormat="1" applyFont="1" applyFill="1" applyBorder="1" applyAlignment="1">
      <alignment horizontal="left"/>
    </xf>
    <xf numFmtId="0" fontId="21" fillId="8" borderId="0" xfId="0" applyFont="1" applyFill="1" applyBorder="1" applyAlignment="1">
      <alignment horizontal="left"/>
    </xf>
    <xf numFmtId="0" fontId="34" fillId="31" borderId="0" xfId="0" applyFont="1" applyFill="1" applyBorder="1" applyAlignment="1">
      <alignment horizontal="left"/>
    </xf>
    <xf numFmtId="0" fontId="34" fillId="32" borderId="0" xfId="0" applyFont="1" applyFill="1" applyBorder="1" applyAlignment="1">
      <alignment horizontal="left"/>
    </xf>
    <xf numFmtId="1" fontId="0" fillId="14" borderId="53" xfId="0" applyNumberFormat="1" applyFont="1" applyFill="1" applyBorder="1" applyAlignment="1" applyProtection="1">
      <alignment horizontal="right"/>
      <protection locked="0"/>
    </xf>
    <xf numFmtId="1" fontId="0" fillId="14" borderId="72" xfId="0" applyNumberFormat="1" applyFont="1" applyFill="1" applyBorder="1" applyAlignment="1" applyProtection="1">
      <alignment horizontal="right"/>
      <protection locked="0"/>
    </xf>
    <xf numFmtId="0" fontId="34" fillId="33" borderId="0" xfId="0" applyFont="1" applyFill="1" applyBorder="1" applyAlignment="1">
      <alignment horizontal="left"/>
    </xf>
    <xf numFmtId="0" fontId="21" fillId="33" borderId="0" xfId="0" applyFont="1" applyFill="1" applyBorder="1" applyAlignment="1">
      <alignment horizontal="left"/>
    </xf>
    <xf numFmtId="0" fontId="33" fillId="34" borderId="50" xfId="0" applyFont="1" applyFill="1" applyBorder="1" applyAlignment="1">
      <alignment horizontal="left"/>
    </xf>
    <xf numFmtId="0" fontId="33" fillId="34" borderId="51" xfId="0" applyFont="1" applyFill="1" applyBorder="1" applyAlignment="1">
      <alignment horizontal="left"/>
    </xf>
    <xf numFmtId="1" fontId="33" fillId="34" borderId="51" xfId="0" applyNumberFormat="1" applyFont="1" applyFill="1" applyBorder="1" applyAlignment="1">
      <alignment horizontal="left"/>
    </xf>
    <xf numFmtId="1" fontId="33" fillId="34" borderId="51" xfId="0" applyNumberFormat="1" applyFont="1" applyFill="1" applyBorder="1" applyAlignment="1">
      <alignment horizontal="right"/>
    </xf>
    <xf numFmtId="164" fontId="30" fillId="34" borderId="52" xfId="0" applyNumberFormat="1" applyFont="1" applyFill="1" applyBorder="1"/>
    <xf numFmtId="164" fontId="33" fillId="34" borderId="52" xfId="0" applyNumberFormat="1" applyFont="1" applyFill="1" applyBorder="1"/>
    <xf numFmtId="0" fontId="23" fillId="29" borderId="1" xfId="0" applyFont="1" applyFill="1" applyBorder="1" applyAlignment="1">
      <alignment horizontal="left"/>
    </xf>
    <xf numFmtId="164" fontId="23" fillId="29" borderId="1" xfId="0" applyNumberFormat="1" applyFont="1" applyFill="1" applyBorder="1" applyAlignment="1">
      <alignment horizontal="right" wrapText="1"/>
    </xf>
    <xf numFmtId="164" fontId="23" fillId="29" borderId="1" xfId="0" applyNumberFormat="1" applyFont="1" applyFill="1" applyBorder="1"/>
    <xf numFmtId="164" fontId="22" fillId="29" borderId="1" xfId="0" applyNumberFormat="1" applyFont="1" applyFill="1" applyBorder="1"/>
    <xf numFmtId="164" fontId="19" fillId="29" borderId="1" xfId="0" applyNumberFormat="1" applyFont="1" applyFill="1" applyBorder="1"/>
    <xf numFmtId="164" fontId="19" fillId="29" borderId="1" xfId="0" applyNumberFormat="1" applyFont="1" applyFill="1" applyBorder="1" applyAlignment="1">
      <alignment horizontal="left"/>
    </xf>
    <xf numFmtId="1" fontId="19" fillId="29" borderId="1" xfId="0" applyNumberFormat="1" applyFont="1" applyFill="1" applyBorder="1"/>
    <xf numFmtId="164" fontId="23" fillId="29" borderId="1" xfId="0" applyNumberFormat="1" applyFont="1" applyFill="1" applyBorder="1" applyAlignment="1">
      <alignment horizontal="left"/>
    </xf>
    <xf numFmtId="164" fontId="23" fillId="29" borderId="2" xfId="0" applyNumberFormat="1" applyFont="1" applyFill="1" applyBorder="1" applyAlignment="1">
      <alignment horizontal="left"/>
    </xf>
    <xf numFmtId="164" fontId="23" fillId="29" borderId="2" xfId="0" applyNumberFormat="1" applyFont="1" applyFill="1" applyBorder="1" applyAlignment="1">
      <alignment horizontal="right" wrapText="1"/>
    </xf>
    <xf numFmtId="164" fontId="23" fillId="29" borderId="2" xfId="0" applyNumberFormat="1" applyFont="1" applyFill="1" applyBorder="1"/>
    <xf numFmtId="164" fontId="22" fillId="29" borderId="2" xfId="0" applyNumberFormat="1" applyFont="1" applyFill="1" applyBorder="1"/>
    <xf numFmtId="164" fontId="19" fillId="29" borderId="2" xfId="0" applyNumberFormat="1" applyFont="1" applyFill="1" applyBorder="1"/>
    <xf numFmtId="0" fontId="23" fillId="29" borderId="6" xfId="0" applyFont="1" applyFill="1" applyBorder="1" applyAlignment="1">
      <alignment horizontal="left"/>
    </xf>
    <xf numFmtId="164" fontId="23" fillId="29" borderId="6" xfId="0" applyNumberFormat="1" applyFont="1" applyFill="1" applyBorder="1" applyAlignment="1">
      <alignment horizontal="right" wrapText="1"/>
    </xf>
    <xf numFmtId="164" fontId="23" fillId="29" borderId="6" xfId="0" applyNumberFormat="1" applyFont="1" applyFill="1" applyBorder="1"/>
    <xf numFmtId="164" fontId="22" fillId="29" borderId="6" xfId="0" applyNumberFormat="1" applyFont="1" applyFill="1" applyBorder="1"/>
    <xf numFmtId="164" fontId="19" fillId="29" borderId="6" xfId="0" applyNumberFormat="1" applyFont="1" applyFill="1" applyBorder="1"/>
    <xf numFmtId="164" fontId="33" fillId="34" borderId="50" xfId="0" applyNumberFormat="1" applyFont="1" applyFill="1" applyBorder="1" applyAlignment="1">
      <alignment horizontal="left"/>
    </xf>
    <xf numFmtId="164" fontId="33" fillId="34" borderId="51" xfId="0" applyNumberFormat="1" applyFont="1" applyFill="1" applyBorder="1" applyAlignment="1">
      <alignment horizontal="left"/>
    </xf>
    <xf numFmtId="0" fontId="32" fillId="11" borderId="27" xfId="0" applyFont="1" applyFill="1" applyBorder="1" applyAlignment="1">
      <alignment horizontal="center"/>
    </xf>
    <xf numFmtId="0" fontId="32" fillId="11" borderId="2" xfId="0" applyFont="1" applyFill="1" applyBorder="1" applyAlignment="1">
      <alignment horizontal="center"/>
    </xf>
    <xf numFmtId="0" fontId="32" fillId="11" borderId="2" xfId="0" applyFont="1" applyFill="1" applyBorder="1"/>
    <xf numFmtId="1" fontId="32" fillId="11" borderId="2" xfId="0" applyNumberFormat="1" applyFont="1" applyFill="1" applyBorder="1" applyAlignment="1">
      <alignment horizontal="center"/>
    </xf>
    <xf numFmtId="1" fontId="32" fillId="11" borderId="26" xfId="0" applyNumberFormat="1" applyFont="1" applyFill="1" applyBorder="1" applyAlignment="1">
      <alignment horizontal="center"/>
    </xf>
    <xf numFmtId="164" fontId="32" fillId="11" borderId="3" xfId="0" applyNumberFormat="1" applyFont="1" applyFill="1" applyBorder="1" applyAlignment="1">
      <alignment horizontal="center"/>
    </xf>
    <xf numFmtId="164" fontId="32" fillId="11" borderId="74" xfId="0" applyNumberFormat="1" applyFont="1" applyFill="1" applyBorder="1" applyAlignment="1">
      <alignment horizontal="center"/>
    </xf>
    <xf numFmtId="164" fontId="34" fillId="2" borderId="0" xfId="0" applyNumberFormat="1" applyFont="1" applyFill="1" applyBorder="1"/>
    <xf numFmtId="0" fontId="34" fillId="35" borderId="0" xfId="0" applyFont="1" applyFill="1" applyBorder="1" applyAlignment="1">
      <alignment horizontal="left"/>
    </xf>
    <xf numFmtId="164" fontId="23" fillId="36" borderId="0" xfId="0" applyNumberFormat="1" applyFont="1" applyFill="1" applyBorder="1"/>
    <xf numFmtId="1" fontId="23" fillId="36" borderId="0" xfId="0" applyNumberFormat="1" applyFont="1" applyFill="1" applyBorder="1"/>
    <xf numFmtId="1" fontId="0" fillId="36" borderId="0" xfId="0" applyNumberFormat="1" applyFont="1" applyFill="1" applyBorder="1" applyAlignment="1">
      <alignment horizontal="right"/>
    </xf>
    <xf numFmtId="164" fontId="34" fillId="36" borderId="0" xfId="0" applyNumberFormat="1" applyFont="1" applyFill="1" applyBorder="1"/>
    <xf numFmtId="0" fontId="33" fillId="37" borderId="50" xfId="0" applyFont="1" applyFill="1" applyBorder="1" applyAlignment="1">
      <alignment horizontal="left"/>
    </xf>
    <xf numFmtId="0" fontId="33" fillId="37" borderId="51" xfId="0" applyFont="1" applyFill="1" applyBorder="1" applyAlignment="1">
      <alignment horizontal="left"/>
    </xf>
    <xf numFmtId="1" fontId="33" fillId="37" borderId="51" xfId="0" applyNumberFormat="1" applyFont="1" applyFill="1" applyBorder="1" applyAlignment="1">
      <alignment horizontal="left"/>
    </xf>
    <xf numFmtId="1" fontId="33" fillId="37" borderId="51" xfId="0" applyNumberFormat="1" applyFont="1" applyFill="1" applyBorder="1" applyAlignment="1">
      <alignment horizontal="right"/>
    </xf>
    <xf numFmtId="164" fontId="30" fillId="37" borderId="52" xfId="0" applyNumberFormat="1" applyFont="1" applyFill="1" applyBorder="1"/>
    <xf numFmtId="164" fontId="23" fillId="38" borderId="0" xfId="0" applyNumberFormat="1" applyFont="1" applyFill="1" applyBorder="1"/>
    <xf numFmtId="1" fontId="0" fillId="38" borderId="0" xfId="0" applyNumberFormat="1" applyFont="1" applyFill="1" applyBorder="1" applyAlignment="1">
      <alignment horizontal="right"/>
    </xf>
    <xf numFmtId="164" fontId="34" fillId="38" borderId="0" xfId="0" applyNumberFormat="1" applyFont="1" applyFill="1" applyBorder="1" applyAlignment="1">
      <alignment horizontal="center"/>
    </xf>
    <xf numFmtId="0" fontId="21" fillId="35" borderId="0" xfId="0" applyFont="1" applyFill="1" applyBorder="1" applyAlignment="1">
      <alignment horizontal="left"/>
    </xf>
    <xf numFmtId="1" fontId="23" fillId="38" borderId="0" xfId="0" applyNumberFormat="1" applyFont="1" applyFill="1" applyBorder="1"/>
    <xf numFmtId="164" fontId="33" fillId="37" borderId="52" xfId="0" applyNumberFormat="1" applyFont="1" applyFill="1" applyBorder="1"/>
    <xf numFmtId="164" fontId="33" fillId="37" borderId="50" xfId="0" applyNumberFormat="1" applyFont="1" applyFill="1" applyBorder="1" applyAlignment="1">
      <alignment horizontal="left"/>
    </xf>
    <xf numFmtId="164" fontId="33" fillId="37" borderId="51" xfId="0" applyNumberFormat="1" applyFont="1" applyFill="1" applyBorder="1" applyAlignment="1">
      <alignment horizontal="left"/>
    </xf>
    <xf numFmtId="0" fontId="32" fillId="39" borderId="35" xfId="0" applyFont="1" applyFill="1" applyBorder="1" applyAlignment="1"/>
    <xf numFmtId="165" fontId="32" fillId="39" borderId="44" xfId="0" applyNumberFormat="1" applyFont="1" applyFill="1" applyBorder="1" applyAlignment="1">
      <alignment horizontal="center"/>
    </xf>
    <xf numFmtId="164" fontId="32" fillId="39" borderId="36" xfId="0" applyNumberFormat="1" applyFont="1" applyFill="1" applyBorder="1" applyAlignment="1">
      <alignment horizontal="center"/>
    </xf>
    <xf numFmtId="164" fontId="32" fillId="39" borderId="37" xfId="0" applyNumberFormat="1" applyFont="1" applyFill="1" applyBorder="1" applyAlignment="1">
      <alignment horizontal="center"/>
    </xf>
    <xf numFmtId="0" fontId="32" fillId="39" borderId="39" xfId="0" applyFont="1" applyFill="1" applyBorder="1" applyAlignment="1">
      <alignment horizontal="center"/>
    </xf>
    <xf numFmtId="0" fontId="32" fillId="39" borderId="40" xfId="0" applyFont="1" applyFill="1" applyBorder="1" applyAlignment="1">
      <alignment horizontal="center"/>
    </xf>
    <xf numFmtId="0" fontId="32" fillId="39" borderId="40" xfId="0" applyFont="1" applyFill="1" applyBorder="1"/>
    <xf numFmtId="0" fontId="32" fillId="39" borderId="26" xfId="0" applyFont="1" applyFill="1" applyBorder="1"/>
    <xf numFmtId="165" fontId="32" fillId="39" borderId="46" xfId="0" applyNumberFormat="1" applyFont="1" applyFill="1" applyBorder="1" applyAlignment="1">
      <alignment horizontal="center"/>
    </xf>
    <xf numFmtId="1" fontId="32" fillId="39" borderId="27" xfId="0" applyNumberFormat="1" applyFont="1" applyFill="1" applyBorder="1" applyAlignment="1">
      <alignment horizontal="center"/>
    </xf>
    <xf numFmtId="1" fontId="32" fillId="39" borderId="40" xfId="0" applyNumberFormat="1" applyFont="1" applyFill="1" applyBorder="1" applyAlignment="1">
      <alignment horizontal="center"/>
    </xf>
    <xf numFmtId="1" fontId="32" fillId="39" borderId="41" xfId="0" applyNumberFormat="1" applyFont="1" applyFill="1" applyBorder="1" applyAlignment="1">
      <alignment horizontal="center"/>
    </xf>
    <xf numFmtId="164" fontId="32" fillId="39" borderId="42" xfId="0" applyNumberFormat="1" applyFont="1" applyFill="1" applyBorder="1" applyAlignment="1">
      <alignment horizontal="center"/>
    </xf>
    <xf numFmtId="164" fontId="32" fillId="39" borderId="43" xfId="0" applyNumberFormat="1" applyFont="1" applyFill="1" applyBorder="1" applyAlignment="1">
      <alignment horizontal="center"/>
    </xf>
    <xf numFmtId="164" fontId="23" fillId="40" borderId="0" xfId="0" applyNumberFormat="1" applyFont="1" applyFill="1" applyBorder="1"/>
    <xf numFmtId="1" fontId="23" fillId="40" borderId="0" xfId="0" applyNumberFormat="1" applyFont="1" applyFill="1" applyBorder="1"/>
    <xf numFmtId="1" fontId="0" fillId="40" borderId="0" xfId="0" applyNumberFormat="1" applyFont="1" applyFill="1" applyBorder="1" applyAlignment="1">
      <alignment horizontal="right"/>
    </xf>
    <xf numFmtId="0" fontId="21" fillId="31" borderId="0" xfId="0" applyFont="1" applyFill="1" applyBorder="1" applyAlignment="1">
      <alignment horizontal="left"/>
    </xf>
    <xf numFmtId="164" fontId="34" fillId="40" borderId="0" xfId="0" applyNumberFormat="1" applyFont="1" applyFill="1" applyBorder="1" applyAlignment="1">
      <alignment horizontal="center"/>
    </xf>
    <xf numFmtId="1" fontId="23" fillId="41" borderId="33" xfId="0" applyNumberFormat="1" applyFont="1" applyFill="1" applyBorder="1" applyProtection="1">
      <protection locked="0"/>
    </xf>
    <xf numFmtId="164" fontId="23" fillId="29" borderId="58" xfId="0" applyNumberFormat="1" applyFont="1" applyFill="1" applyBorder="1"/>
    <xf numFmtId="0" fontId="26" fillId="7" borderId="0" xfId="0" applyFont="1" applyFill="1" applyBorder="1" applyAlignment="1">
      <alignment horizontal="right"/>
    </xf>
    <xf numFmtId="0" fontId="21" fillId="7" borderId="0" xfId="0" applyFont="1" applyFill="1" applyBorder="1" applyAlignment="1">
      <alignment horizontal="right"/>
    </xf>
    <xf numFmtId="0" fontId="21" fillId="7" borderId="0" xfId="0" applyFont="1" applyFill="1" applyBorder="1"/>
    <xf numFmtId="1" fontId="21" fillId="7" borderId="0" xfId="0" applyNumberFormat="1" applyFont="1" applyFill="1" applyBorder="1" applyAlignment="1">
      <alignment horizontal="right"/>
    </xf>
    <xf numFmtId="0" fontId="19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38" fillId="33" borderId="51" xfId="0" applyFont="1" applyFill="1" applyBorder="1" applyAlignment="1">
      <alignment horizontal="right" wrapText="1"/>
    </xf>
    <xf numFmtId="1" fontId="38" fillId="33" borderId="51" xfId="0" applyNumberFormat="1" applyFont="1" applyFill="1" applyBorder="1"/>
    <xf numFmtId="164" fontId="38" fillId="33" borderId="51" xfId="0" applyNumberFormat="1" applyFont="1" applyFill="1" applyBorder="1"/>
    <xf numFmtId="1" fontId="31" fillId="46" borderId="51" xfId="0" applyNumberFormat="1" applyFont="1" applyFill="1" applyBorder="1" applyAlignment="1" applyProtection="1">
      <alignment horizontal="right"/>
      <protection locked="0"/>
    </xf>
    <xf numFmtId="164" fontId="33" fillId="33" borderId="51" xfId="0" applyNumberFormat="1" applyFont="1" applyFill="1" applyBorder="1"/>
    <xf numFmtId="164" fontId="30" fillId="33" borderId="52" xfId="0" applyNumberFormat="1" applyFont="1" applyFill="1" applyBorder="1"/>
    <xf numFmtId="0" fontId="33" fillId="33" borderId="50" xfId="0" applyFont="1" applyFill="1" applyBorder="1" applyAlignment="1">
      <alignment horizontal="left"/>
    </xf>
    <xf numFmtId="164" fontId="39" fillId="0" borderId="0" xfId="0" applyNumberFormat="1" applyFont="1" applyAlignment="1">
      <alignment horizontal="right"/>
    </xf>
    <xf numFmtId="0" fontId="40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 applyFill="1"/>
    <xf numFmtId="1" fontId="8" fillId="0" borderId="0" xfId="0" applyNumberFormat="1" applyFont="1" applyFill="1"/>
    <xf numFmtId="164" fontId="8" fillId="0" borderId="0" xfId="0" applyNumberFormat="1" applyFont="1"/>
    <xf numFmtId="0" fontId="8" fillId="0" borderId="0" xfId="0" applyFont="1"/>
    <xf numFmtId="0" fontId="4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/>
    </xf>
    <xf numFmtId="164" fontId="7" fillId="22" borderId="5" xfId="0" applyNumberFormat="1" applyFont="1" applyFill="1" applyBorder="1" applyAlignment="1">
      <alignment horizontal="center"/>
    </xf>
    <xf numFmtId="164" fontId="7" fillId="22" borderId="9" xfId="0" applyNumberFormat="1" applyFont="1" applyFill="1" applyBorder="1" applyAlignment="1">
      <alignment horizontal="center"/>
    </xf>
    <xf numFmtId="164" fontId="7" fillId="29" borderId="1" xfId="0" applyNumberFormat="1" applyFont="1" applyFill="1" applyBorder="1"/>
    <xf numFmtId="164" fontId="16" fillId="22" borderId="32" xfId="0" applyNumberFormat="1" applyFont="1" applyFill="1" applyBorder="1"/>
    <xf numFmtId="164" fontId="42" fillId="48" borderId="58" xfId="0" applyNumberFormat="1" applyFont="1" applyFill="1" applyBorder="1"/>
    <xf numFmtId="164" fontId="8" fillId="0" borderId="0" xfId="0" applyNumberFormat="1" applyFont="1" applyFill="1"/>
    <xf numFmtId="0" fontId="4" fillId="0" borderId="0" xfId="0" applyFont="1" applyFill="1" applyAlignment="1"/>
    <xf numFmtId="0" fontId="40" fillId="0" borderId="0" xfId="0" applyFont="1"/>
    <xf numFmtId="0" fontId="44" fillId="7" borderId="0" xfId="0" applyFont="1" applyFill="1" applyBorder="1"/>
    <xf numFmtId="0" fontId="0" fillId="49" borderId="0" xfId="0" applyFont="1" applyFill="1" applyBorder="1"/>
    <xf numFmtId="0" fontId="0" fillId="13" borderId="0" xfId="0" applyFont="1" applyFill="1"/>
    <xf numFmtId="0" fontId="45" fillId="0" borderId="75" xfId="0" applyFont="1" applyFill="1" applyBorder="1" applyAlignment="1">
      <alignment vertical="center"/>
    </xf>
    <xf numFmtId="0" fontId="48" fillId="0" borderId="76" xfId="1" applyNumberFormat="1" applyFont="1" applyFill="1" applyBorder="1" applyAlignment="1">
      <alignment horizontal="center"/>
    </xf>
    <xf numFmtId="0" fontId="48" fillId="0" borderId="77" xfId="1" applyNumberFormat="1" applyFont="1" applyFill="1" applyBorder="1" applyAlignment="1">
      <alignment horizontal="center" wrapText="1"/>
    </xf>
    <xf numFmtId="0" fontId="48" fillId="0" borderId="77" xfId="1" quotePrefix="1" applyNumberFormat="1" applyFont="1" applyFill="1" applyBorder="1" applyAlignment="1">
      <alignment wrapText="1"/>
    </xf>
    <xf numFmtId="0" fontId="49" fillId="0" borderId="77" xfId="1" quotePrefix="1" applyNumberFormat="1" applyFont="1" applyFill="1" applyBorder="1" applyAlignment="1">
      <alignment wrapText="1"/>
    </xf>
    <xf numFmtId="0" fontId="50" fillId="0" borderId="77" xfId="1" quotePrefix="1" applyNumberFormat="1" applyFont="1" applyFill="1" applyBorder="1" applyAlignment="1">
      <alignment wrapText="1"/>
    </xf>
    <xf numFmtId="0" fontId="49" fillId="0" borderId="77" xfId="1" quotePrefix="1" applyNumberFormat="1" applyFont="1" applyFill="1" applyBorder="1" applyAlignment="1"/>
    <xf numFmtId="0" fontId="48" fillId="0" borderId="77" xfId="1" quotePrefix="1" applyNumberFormat="1" applyFont="1" applyFill="1" applyBorder="1" applyAlignment="1"/>
    <xf numFmtId="0" fontId="49" fillId="0" borderId="78" xfId="1" quotePrefix="1" applyNumberFormat="1" applyFont="1" applyFill="1" applyBorder="1" applyAlignment="1"/>
    <xf numFmtId="0" fontId="48" fillId="0" borderId="78" xfId="1" quotePrefix="1" applyNumberFormat="1" applyFont="1" applyFill="1" applyBorder="1" applyAlignment="1">
      <alignment wrapText="1"/>
    </xf>
    <xf numFmtId="0" fontId="48" fillId="0" borderId="79" xfId="1" quotePrefix="1" applyNumberFormat="1" applyFont="1" applyFill="1" applyBorder="1"/>
    <xf numFmtId="0" fontId="48" fillId="0" borderId="80" xfId="1" quotePrefix="1" applyNumberFormat="1" applyFont="1" applyFill="1" applyBorder="1"/>
    <xf numFmtId="0" fontId="48" fillId="0" borderId="81" xfId="1" quotePrefix="1" applyNumberFormat="1" applyFont="1" applyFill="1" applyBorder="1" applyProtection="1">
      <protection locked="0"/>
    </xf>
    <xf numFmtId="0" fontId="51" fillId="0" borderId="82" xfId="1" quotePrefix="1" applyNumberFormat="1" applyFont="1" applyFill="1" applyBorder="1"/>
    <xf numFmtId="0" fontId="49" fillId="0" borderId="83" xfId="1" quotePrefix="1" applyNumberFormat="1" applyFont="1" applyFill="1" applyBorder="1"/>
    <xf numFmtId="0" fontId="48" fillId="0" borderId="83" xfId="1" quotePrefix="1" applyNumberFormat="1" applyFont="1" applyFill="1" applyBorder="1"/>
    <xf numFmtId="0" fontId="46" fillId="0" borderId="84" xfId="0" applyFont="1" applyBorder="1"/>
    <xf numFmtId="0" fontId="48" fillId="0" borderId="85" xfId="1" quotePrefix="1" applyNumberFormat="1" applyFont="1" applyFill="1" applyBorder="1" applyProtection="1">
      <protection locked="0"/>
    </xf>
    <xf numFmtId="0" fontId="46" fillId="0" borderId="84" xfId="0" applyFont="1" applyFill="1" applyBorder="1"/>
    <xf numFmtId="0" fontId="0" fillId="0" borderId="87" xfId="0" applyBorder="1"/>
    <xf numFmtId="0" fontId="0" fillId="0" borderId="0" xfId="0" applyBorder="1"/>
    <xf numFmtId="0" fontId="49" fillId="0" borderId="0" xfId="0" applyFont="1" applyBorder="1"/>
    <xf numFmtId="0" fontId="52" fillId="0" borderId="0" xfId="0" applyFont="1" applyBorder="1"/>
    <xf numFmtId="0" fontId="26" fillId="0" borderId="0" xfId="0" applyFont="1" applyBorder="1"/>
    <xf numFmtId="0" fontId="53" fillId="0" borderId="0" xfId="0" applyFont="1" applyBorder="1"/>
    <xf numFmtId="0" fontId="0" fillId="0" borderId="84" xfId="0" applyBorder="1"/>
    <xf numFmtId="0" fontId="54" fillId="0" borderId="88" xfId="1" applyNumberFormat="1" applyFont="1" applyFill="1" applyBorder="1"/>
    <xf numFmtId="0" fontId="13" fillId="0" borderId="89" xfId="0" applyFont="1" applyBorder="1"/>
    <xf numFmtId="0" fontId="55" fillId="0" borderId="89" xfId="0" applyFont="1" applyBorder="1"/>
    <xf numFmtId="0" fontId="54" fillId="0" borderId="89" xfId="1" applyNumberFormat="1" applyFont="1" applyFill="1" applyBorder="1"/>
    <xf numFmtId="0" fontId="54" fillId="0" borderId="90" xfId="1" applyNumberFormat="1" applyFont="1" applyFill="1" applyBorder="1"/>
    <xf numFmtId="0" fontId="48" fillId="0" borderId="0" xfId="1" applyNumberFormat="1" applyFont="1" applyFill="1" applyBorder="1"/>
    <xf numFmtId="0" fontId="46" fillId="0" borderId="0" xfId="0" applyFont="1" applyBorder="1"/>
    <xf numFmtId="0" fontId="57" fillId="0" borderId="89" xfId="0" applyFont="1" applyBorder="1" applyAlignment="1">
      <alignment vertical="center"/>
    </xf>
    <xf numFmtId="0" fontId="54" fillId="0" borderId="89" xfId="0" applyFont="1" applyBorder="1" applyAlignment="1">
      <alignment vertical="center"/>
    </xf>
    <xf numFmtId="0" fontId="54" fillId="0" borderId="90" xfId="0" applyFont="1" applyBorder="1" applyAlignment="1">
      <alignment vertical="center"/>
    </xf>
    <xf numFmtId="0" fontId="0" fillId="0" borderId="91" xfId="0" applyBorder="1"/>
    <xf numFmtId="0" fontId="0" fillId="0" borderId="92" xfId="0" applyBorder="1"/>
    <xf numFmtId="0" fontId="49" fillId="0" borderId="92" xfId="0" applyFont="1" applyBorder="1"/>
    <xf numFmtId="0" fontId="52" fillId="0" borderId="92" xfId="0" applyFont="1" applyBorder="1"/>
    <xf numFmtId="0" fontId="26" fillId="0" borderId="92" xfId="0" applyFont="1" applyBorder="1"/>
    <xf numFmtId="0" fontId="53" fillId="0" borderId="92" xfId="0" applyFont="1" applyBorder="1"/>
    <xf numFmtId="0" fontId="0" fillId="0" borderId="93" xfId="0" applyBorder="1"/>
    <xf numFmtId="0" fontId="48" fillId="0" borderId="94" xfId="1" quotePrefix="1" applyNumberFormat="1" applyFont="1" applyFill="1" applyBorder="1" applyAlignment="1"/>
    <xf numFmtId="0" fontId="48" fillId="0" borderId="82" xfId="1" quotePrefix="1" applyNumberFormat="1" applyFont="1" applyFill="1" applyBorder="1"/>
    <xf numFmtId="0" fontId="48" fillId="13" borderId="0" xfId="1" applyNumberFormat="1" applyFont="1" applyFill="1" applyBorder="1" applyAlignment="1">
      <alignment horizontal="center"/>
    </xf>
    <xf numFmtId="0" fontId="48" fillId="13" borderId="0" xfId="1" applyNumberFormat="1" applyFont="1" applyFill="1" applyBorder="1" applyAlignment="1">
      <alignment horizontal="center" wrapText="1"/>
    </xf>
    <xf numFmtId="0" fontId="48" fillId="13" borderId="0" xfId="1" quotePrefix="1" applyNumberFormat="1" applyFont="1" applyFill="1" applyBorder="1" applyAlignment="1">
      <alignment wrapText="1"/>
    </xf>
    <xf numFmtId="0" fontId="49" fillId="13" borderId="0" xfId="1" quotePrefix="1" applyNumberFormat="1" applyFont="1" applyFill="1" applyBorder="1" applyAlignment="1">
      <alignment wrapText="1"/>
    </xf>
    <xf numFmtId="0" fontId="50" fillId="13" borderId="0" xfId="1" quotePrefix="1" applyNumberFormat="1" applyFont="1" applyFill="1" applyBorder="1" applyAlignment="1">
      <alignment wrapText="1"/>
    </xf>
    <xf numFmtId="0" fontId="49" fillId="13" borderId="0" xfId="1" quotePrefix="1" applyNumberFormat="1" applyFont="1" applyFill="1" applyBorder="1" applyAlignment="1"/>
    <xf numFmtId="0" fontId="48" fillId="13" borderId="0" xfId="1" quotePrefix="1" applyNumberFormat="1" applyFont="1" applyFill="1" applyBorder="1" applyAlignment="1"/>
    <xf numFmtId="0" fontId="48" fillId="13" borderId="0" xfId="1" quotePrefix="1" applyNumberFormat="1" applyFont="1" applyFill="1" applyBorder="1"/>
    <xf numFmtId="0" fontId="48" fillId="13" borderId="0" xfId="1" quotePrefix="1" applyNumberFormat="1" applyFont="1" applyFill="1" applyBorder="1" applyProtection="1">
      <protection locked="0"/>
    </xf>
    <xf numFmtId="0" fontId="51" fillId="13" borderId="0" xfId="1" quotePrefix="1" applyNumberFormat="1" applyFont="1" applyFill="1" applyBorder="1"/>
    <xf numFmtId="0" fontId="49" fillId="13" borderId="0" xfId="1" quotePrefix="1" applyNumberFormat="1" applyFont="1" applyFill="1" applyBorder="1"/>
    <xf numFmtId="0" fontId="46" fillId="13" borderId="0" xfId="0" applyFont="1" applyFill="1" applyBorder="1"/>
    <xf numFmtId="0" fontId="0" fillId="13" borderId="0" xfId="0" applyFill="1" applyBorder="1"/>
    <xf numFmtId="0" fontId="53" fillId="0" borderId="0" xfId="0" applyFont="1" applyFill="1" applyBorder="1"/>
    <xf numFmtId="0" fontId="26" fillId="0" borderId="0" xfId="0" applyFont="1" applyFill="1" applyBorder="1"/>
    <xf numFmtId="0" fontId="56" fillId="0" borderId="88" xfId="0" applyFont="1" applyBorder="1" applyAlignment="1">
      <alignment vertical="center"/>
    </xf>
    <xf numFmtId="0" fontId="0" fillId="0" borderId="0" xfId="0" applyFont="1" applyFill="1" applyBorder="1"/>
    <xf numFmtId="0" fontId="0" fillId="49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84" xfId="0" applyFont="1" applyBorder="1"/>
    <xf numFmtId="0" fontId="26" fillId="0" borderId="97" xfId="0" applyFont="1" applyBorder="1"/>
    <xf numFmtId="0" fontId="26" fillId="0" borderId="98" xfId="0" applyFont="1" applyBorder="1"/>
    <xf numFmtId="0" fontId="48" fillId="0" borderId="76" xfId="1" applyNumberFormat="1" applyFont="1" applyFill="1" applyBorder="1" applyAlignment="1">
      <alignment horizontal="center" wrapText="1"/>
    </xf>
    <xf numFmtId="0" fontId="48" fillId="50" borderId="85" xfId="1" quotePrefix="1" applyNumberFormat="1" applyFont="1" applyFill="1" applyBorder="1" applyProtection="1">
      <protection locked="0"/>
    </xf>
    <xf numFmtId="0" fontId="48" fillId="50" borderId="86" xfId="1" quotePrefix="1" applyNumberFormat="1" applyFont="1" applyFill="1" applyBorder="1" applyProtection="1">
      <protection locked="0"/>
    </xf>
    <xf numFmtId="0" fontId="13" fillId="8" borderId="99" xfId="0" applyFont="1" applyFill="1" applyBorder="1"/>
    <xf numFmtId="0" fontId="13" fillId="8" borderId="100" xfId="0" applyFont="1" applyFill="1" applyBorder="1"/>
    <xf numFmtId="0" fontId="8" fillId="10" borderId="101" xfId="0" applyFont="1" applyFill="1" applyBorder="1" applyAlignment="1">
      <alignment horizontal="right"/>
    </xf>
    <xf numFmtId="0" fontId="13" fillId="45" borderId="102" xfId="0" applyFont="1" applyFill="1" applyBorder="1" applyProtection="1">
      <protection locked="0"/>
    </xf>
    <xf numFmtId="0" fontId="13" fillId="45" borderId="103" xfId="0" applyFont="1" applyFill="1" applyBorder="1" applyProtection="1">
      <protection locked="0"/>
    </xf>
    <xf numFmtId="0" fontId="13" fillId="8" borderId="101" xfId="0" applyFont="1" applyFill="1" applyBorder="1"/>
    <xf numFmtId="0" fontId="13" fillId="8" borderId="104" xfId="0" applyFont="1" applyFill="1" applyBorder="1"/>
    <xf numFmtId="0" fontId="28" fillId="16" borderId="101" xfId="0" applyFont="1" applyFill="1" applyBorder="1" applyAlignment="1">
      <alignment horizontal="right"/>
    </xf>
    <xf numFmtId="164" fontId="13" fillId="16" borderId="105" xfId="0" applyNumberFormat="1" applyFont="1" applyFill="1" applyBorder="1"/>
    <xf numFmtId="0" fontId="13" fillId="8" borderId="106" xfId="0" applyFont="1" applyFill="1" applyBorder="1"/>
    <xf numFmtId="0" fontId="13" fillId="8" borderId="107" xfId="0" applyFont="1" applyFill="1" applyBorder="1"/>
    <xf numFmtId="0" fontId="8" fillId="8" borderId="100" xfId="0" applyFont="1" applyFill="1" applyBorder="1" applyAlignment="1">
      <alignment horizontal="center"/>
    </xf>
    <xf numFmtId="0" fontId="8" fillId="8" borderId="104" xfId="0" applyFont="1" applyFill="1" applyBorder="1" applyAlignment="1">
      <alignment horizontal="center"/>
    </xf>
    <xf numFmtId="0" fontId="13" fillId="8" borderId="108" xfId="0" applyFont="1" applyFill="1" applyBorder="1"/>
    <xf numFmtId="0" fontId="8" fillId="8" borderId="109" xfId="0" applyFont="1" applyFill="1" applyBorder="1" applyAlignment="1">
      <alignment horizontal="center"/>
    </xf>
    <xf numFmtId="0" fontId="26" fillId="0" borderId="113" xfId="0" applyFont="1" applyBorder="1"/>
    <xf numFmtId="0" fontId="26" fillId="0" borderId="113" xfId="0" applyFont="1" applyFill="1" applyBorder="1"/>
    <xf numFmtId="0" fontId="26" fillId="0" borderId="117" xfId="0" applyFont="1" applyFill="1" applyBorder="1"/>
    <xf numFmtId="0" fontId="26" fillId="0" borderId="119" xfId="0" applyFont="1" applyBorder="1"/>
    <xf numFmtId="0" fontId="26" fillId="0" borderId="120" xfId="0" applyFont="1" applyFill="1" applyBorder="1"/>
    <xf numFmtId="164" fontId="32" fillId="11" borderId="121" xfId="0" applyNumberFormat="1" applyFont="1" applyFill="1" applyBorder="1" applyAlignment="1">
      <alignment horizontal="center"/>
    </xf>
    <xf numFmtId="164" fontId="32" fillId="11" borderId="122" xfId="0" applyNumberFormat="1" applyFont="1" applyFill="1" applyBorder="1" applyAlignment="1">
      <alignment horizontal="center"/>
    </xf>
    <xf numFmtId="0" fontId="19" fillId="51" borderId="0" xfId="0" applyFont="1" applyFill="1" applyBorder="1"/>
    <xf numFmtId="164" fontId="32" fillId="30" borderId="121" xfId="0" applyNumberFormat="1" applyFont="1" applyFill="1" applyBorder="1" applyAlignment="1">
      <alignment horizontal="center"/>
    </xf>
    <xf numFmtId="164" fontId="32" fillId="30" borderId="122" xfId="0" applyNumberFormat="1" applyFont="1" applyFill="1" applyBorder="1" applyAlignment="1">
      <alignment horizontal="center"/>
    </xf>
    <xf numFmtId="164" fontId="32" fillId="18" borderId="56" xfId="0" applyNumberFormat="1" applyFont="1" applyFill="1" applyBorder="1" applyAlignment="1">
      <alignment horizontal="left"/>
    </xf>
    <xf numFmtId="164" fontId="23" fillId="25" borderId="0" xfId="0" applyNumberFormat="1" applyFont="1" applyFill="1" applyBorder="1"/>
    <xf numFmtId="164" fontId="22" fillId="16" borderId="28" xfId="0" applyNumberFormat="1" applyFont="1" applyFill="1" applyBorder="1"/>
    <xf numFmtId="164" fontId="19" fillId="25" borderId="29" xfId="0" applyNumberFormat="1" applyFont="1" applyFill="1" applyBorder="1"/>
    <xf numFmtId="164" fontId="19" fillId="16" borderId="58" xfId="0" applyNumberFormat="1" applyFont="1" applyFill="1" applyBorder="1"/>
    <xf numFmtId="0" fontId="31" fillId="21" borderId="123" xfId="0" applyFont="1" applyFill="1" applyBorder="1" applyAlignment="1">
      <alignment horizontal="center" wrapText="1"/>
    </xf>
    <xf numFmtId="164" fontId="33" fillId="27" borderId="56" xfId="0" applyNumberFormat="1" applyFont="1" applyFill="1" applyBorder="1"/>
    <xf numFmtId="164" fontId="19" fillId="16" borderId="124" xfId="0" applyNumberFormat="1" applyFont="1" applyFill="1" applyBorder="1"/>
    <xf numFmtId="164" fontId="32" fillId="11" borderId="8" xfId="0" applyNumberFormat="1" applyFont="1" applyFill="1" applyBorder="1" applyAlignment="1">
      <alignment horizontal="center"/>
    </xf>
    <xf numFmtId="164" fontId="23" fillId="10" borderId="6" xfId="0" applyNumberFormat="1" applyFont="1" applyFill="1" applyBorder="1"/>
    <xf numFmtId="164" fontId="23" fillId="29" borderId="17" xfId="0" applyNumberFormat="1" applyFont="1" applyFill="1" applyBorder="1"/>
    <xf numFmtId="0" fontId="23" fillId="52" borderId="125" xfId="0" applyFont="1" applyFill="1" applyBorder="1" applyAlignment="1" applyProtection="1">
      <alignment horizontal="left"/>
      <protection locked="0"/>
    </xf>
    <xf numFmtId="164" fontId="23" fillId="52" borderId="126" xfId="0" applyNumberFormat="1" applyFont="1" applyFill="1" applyBorder="1" applyProtection="1">
      <protection locked="0"/>
    </xf>
    <xf numFmtId="1" fontId="23" fillId="52" borderId="127" xfId="0" applyNumberFormat="1" applyFont="1" applyFill="1" applyBorder="1"/>
    <xf numFmtId="1" fontId="0" fillId="52" borderId="128" xfId="0" applyNumberFormat="1" applyFont="1" applyFill="1" applyBorder="1" applyAlignment="1" applyProtection="1">
      <alignment horizontal="right"/>
      <protection locked="0"/>
    </xf>
    <xf numFmtId="1" fontId="23" fillId="52" borderId="10" xfId="0" applyNumberFormat="1" applyFont="1" applyFill="1" applyBorder="1" applyProtection="1">
      <protection locked="0"/>
    </xf>
    <xf numFmtId="164" fontId="23" fillId="23" borderId="129" xfId="0" applyNumberFormat="1" applyFont="1" applyFill="1" applyBorder="1" applyProtection="1">
      <protection locked="0"/>
    </xf>
    <xf numFmtId="164" fontId="23" fillId="23" borderId="130" xfId="0" applyNumberFormat="1" applyFont="1" applyFill="1" applyBorder="1" applyProtection="1">
      <protection locked="0"/>
    </xf>
    <xf numFmtId="164" fontId="23" fillId="23" borderId="131" xfId="0" applyNumberFormat="1" applyFont="1" applyFill="1" applyBorder="1" applyProtection="1">
      <protection locked="0"/>
    </xf>
    <xf numFmtId="164" fontId="23" fillId="23" borderId="132" xfId="0" applyNumberFormat="1" applyFont="1" applyFill="1" applyBorder="1" applyProtection="1">
      <protection locked="0"/>
    </xf>
    <xf numFmtId="0" fontId="19" fillId="14" borderId="132" xfId="0" applyFont="1" applyFill="1" applyBorder="1" applyProtection="1">
      <protection locked="0"/>
    </xf>
    <xf numFmtId="0" fontId="19" fillId="14" borderId="133" xfId="0" applyFont="1" applyFill="1" applyBorder="1" applyProtection="1">
      <protection locked="0"/>
    </xf>
    <xf numFmtId="164" fontId="23" fillId="52" borderId="134" xfId="0" applyNumberFormat="1" applyFont="1" applyFill="1" applyBorder="1" applyProtection="1">
      <protection locked="0"/>
    </xf>
    <xf numFmtId="164" fontId="23" fillId="52" borderId="127" xfId="0" applyNumberFormat="1" applyFont="1" applyFill="1" applyBorder="1" applyProtection="1">
      <protection locked="0"/>
    </xf>
    <xf numFmtId="1" fontId="34" fillId="2" borderId="0" xfId="0" applyNumberFormat="1" applyFont="1" applyFill="1" applyBorder="1"/>
    <xf numFmtId="1" fontId="34" fillId="8" borderId="0" xfId="0" applyNumberFormat="1" applyFont="1" applyFill="1" applyBorder="1"/>
    <xf numFmtId="0" fontId="23" fillId="16" borderId="135" xfId="0" applyFont="1" applyFill="1" applyBorder="1" applyAlignment="1">
      <alignment horizontal="left"/>
    </xf>
    <xf numFmtId="0" fontId="23" fillId="16" borderId="135" xfId="0" applyFont="1" applyFill="1" applyBorder="1" applyAlignment="1">
      <alignment horizontal="right" wrapText="1"/>
    </xf>
    <xf numFmtId="1" fontId="23" fillId="16" borderId="135" xfId="0" applyNumberFormat="1" applyFont="1" applyFill="1" applyBorder="1"/>
    <xf numFmtId="164" fontId="23" fillId="16" borderId="136" xfId="0" applyNumberFormat="1" applyFont="1" applyFill="1" applyBorder="1"/>
    <xf numFmtId="164" fontId="23" fillId="16" borderId="70" xfId="0" applyNumberFormat="1" applyFont="1" applyFill="1" applyBorder="1"/>
    <xf numFmtId="164" fontId="23" fillId="16" borderId="135" xfId="0" applyNumberFormat="1" applyFont="1" applyFill="1" applyBorder="1"/>
    <xf numFmtId="164" fontId="22" fillId="16" borderId="135" xfId="0" applyNumberFormat="1" applyFont="1" applyFill="1" applyBorder="1"/>
    <xf numFmtId="164" fontId="19" fillId="16" borderId="135" xfId="0" applyNumberFormat="1" applyFont="1" applyFill="1" applyBorder="1"/>
    <xf numFmtId="164" fontId="34" fillId="0" borderId="0" xfId="0" applyNumberFormat="1" applyFont="1" applyFill="1" applyBorder="1" applyAlignment="1">
      <alignment horizontal="center"/>
    </xf>
    <xf numFmtId="164" fontId="60" fillId="16" borderId="1" xfId="0" applyNumberFormat="1" applyFont="1" applyFill="1" applyBorder="1"/>
    <xf numFmtId="0" fontId="8" fillId="53" borderId="25" xfId="0" applyFont="1" applyFill="1" applyBorder="1"/>
    <xf numFmtId="1" fontId="0" fillId="14" borderId="47" xfId="0" applyNumberFormat="1" applyFill="1" applyBorder="1" applyAlignment="1" applyProtection="1">
      <alignment horizontal="right"/>
      <protection locked="0"/>
    </xf>
    <xf numFmtId="1" fontId="0" fillId="14" borderId="49" xfId="0" applyNumberFormat="1" applyFill="1" applyBorder="1" applyAlignment="1" applyProtection="1">
      <alignment horizontal="right"/>
      <protection locked="0"/>
    </xf>
    <xf numFmtId="0" fontId="35" fillId="29" borderId="0" xfId="0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center"/>
    </xf>
    <xf numFmtId="164" fontId="15" fillId="2" borderId="30" xfId="0" applyNumberFormat="1" applyFont="1" applyFill="1" applyBorder="1" applyAlignment="1">
      <alignment horizontal="right"/>
    </xf>
    <xf numFmtId="164" fontId="15" fillId="2" borderId="12" xfId="0" applyNumberFormat="1" applyFont="1" applyFill="1" applyBorder="1" applyAlignment="1">
      <alignment horizontal="right"/>
    </xf>
    <xf numFmtId="164" fontId="15" fillId="2" borderId="31" xfId="0" applyNumberFormat="1" applyFont="1" applyFill="1" applyBorder="1" applyAlignment="1">
      <alignment horizontal="right"/>
    </xf>
    <xf numFmtId="164" fontId="15" fillId="2" borderId="0" xfId="0" applyNumberFormat="1" applyFont="1" applyFill="1" applyBorder="1" applyAlignment="1">
      <alignment horizontal="right"/>
    </xf>
    <xf numFmtId="164" fontId="15" fillId="2" borderId="22" xfId="0" applyNumberFormat="1" applyFont="1" applyFill="1" applyBorder="1" applyAlignment="1">
      <alignment horizontal="right"/>
    </xf>
    <xf numFmtId="0" fontId="29" fillId="2" borderId="0" xfId="0" applyFont="1" applyFill="1" applyBorder="1" applyAlignment="1">
      <alignment horizontal="center"/>
    </xf>
    <xf numFmtId="164" fontId="8" fillId="47" borderId="0" xfId="0" applyNumberFormat="1" applyFont="1" applyFill="1" applyBorder="1" applyAlignment="1">
      <alignment horizontal="center"/>
    </xf>
    <xf numFmtId="164" fontId="8" fillId="47" borderId="22" xfId="0" applyNumberFormat="1" applyFont="1" applyFill="1" applyBorder="1" applyAlignment="1">
      <alignment horizontal="center"/>
    </xf>
    <xf numFmtId="164" fontId="44" fillId="2" borderId="0" xfId="0" applyNumberFormat="1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 wrapText="1"/>
    </xf>
    <xf numFmtId="0" fontId="19" fillId="12" borderId="35" xfId="0" applyFont="1" applyFill="1" applyBorder="1" applyAlignment="1">
      <alignment horizontal="right"/>
    </xf>
    <xf numFmtId="0" fontId="19" fillId="12" borderId="71" xfId="0" applyFont="1" applyFill="1" applyBorder="1" applyAlignment="1">
      <alignment horizontal="right"/>
    </xf>
    <xf numFmtId="0" fontId="32" fillId="11" borderId="34" xfId="0" applyFont="1" applyFill="1" applyBorder="1" applyAlignment="1">
      <alignment horizontal="center" vertical="center"/>
    </xf>
    <xf numFmtId="0" fontId="32" fillId="11" borderId="38" xfId="0" applyFont="1" applyFill="1" applyBorder="1" applyAlignment="1">
      <alignment horizontal="center" vertical="center"/>
    </xf>
    <xf numFmtId="0" fontId="32" fillId="11" borderId="35" xfId="0" applyFont="1" applyFill="1" applyBorder="1" applyAlignment="1">
      <alignment horizontal="center"/>
    </xf>
    <xf numFmtId="1" fontId="32" fillId="11" borderId="35" xfId="0" applyNumberFormat="1" applyFont="1" applyFill="1" applyBorder="1" applyAlignment="1">
      <alignment horizontal="center"/>
    </xf>
    <xf numFmtId="0" fontId="20" fillId="4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164" fontId="23" fillId="8" borderId="35" xfId="0" applyNumberFormat="1" applyFont="1" applyFill="1" applyBorder="1" applyAlignment="1">
      <alignment horizontal="right"/>
    </xf>
    <xf numFmtId="164" fontId="23" fillId="8" borderId="71" xfId="0" applyNumberFormat="1" applyFont="1" applyFill="1" applyBorder="1" applyAlignment="1">
      <alignment horizontal="right"/>
    </xf>
    <xf numFmtId="0" fontId="31" fillId="22" borderId="10" xfId="0" applyFont="1" applyFill="1" applyBorder="1" applyAlignment="1">
      <alignment horizontal="center" wrapText="1"/>
    </xf>
    <xf numFmtId="0" fontId="15" fillId="22" borderId="10" xfId="0" applyFont="1" applyFill="1" applyBorder="1" applyAlignment="1">
      <alignment horizontal="center" wrapText="1"/>
    </xf>
    <xf numFmtId="0" fontId="32" fillId="30" borderId="34" xfId="0" applyFont="1" applyFill="1" applyBorder="1" applyAlignment="1">
      <alignment horizontal="center" vertical="center"/>
    </xf>
    <xf numFmtId="0" fontId="32" fillId="30" borderId="38" xfId="0" applyFont="1" applyFill="1" applyBorder="1" applyAlignment="1">
      <alignment horizontal="center" vertical="center"/>
    </xf>
    <xf numFmtId="0" fontId="32" fillId="30" borderId="35" xfId="0" applyFont="1" applyFill="1" applyBorder="1" applyAlignment="1">
      <alignment horizontal="center"/>
    </xf>
    <xf numFmtId="1" fontId="32" fillId="30" borderId="35" xfId="0" applyNumberFormat="1" applyFont="1" applyFill="1" applyBorder="1" applyAlignment="1">
      <alignment horizontal="center"/>
    </xf>
    <xf numFmtId="0" fontId="20" fillId="22" borderId="10" xfId="0" applyFont="1" applyFill="1" applyBorder="1" applyAlignment="1">
      <alignment horizontal="center"/>
    </xf>
    <xf numFmtId="164" fontId="32" fillId="18" borderId="55" xfId="0" applyNumberFormat="1" applyFont="1" applyFill="1" applyBorder="1" applyAlignment="1">
      <alignment horizontal="left"/>
    </xf>
    <xf numFmtId="164" fontId="32" fillId="18" borderId="57" xfId="0" applyNumberFormat="1" applyFont="1" applyFill="1" applyBorder="1" applyAlignment="1">
      <alignment horizontal="left"/>
    </xf>
    <xf numFmtId="0" fontId="31" fillId="17" borderId="0" xfId="0" applyFont="1" applyFill="1" applyBorder="1" applyAlignment="1">
      <alignment horizontal="center"/>
    </xf>
    <xf numFmtId="0" fontId="32" fillId="24" borderId="51" xfId="0" applyFont="1" applyFill="1" applyBorder="1" applyAlignment="1">
      <alignment horizontal="center"/>
    </xf>
    <xf numFmtId="0" fontId="32" fillId="24" borderId="35" xfId="0" applyFont="1" applyFill="1" applyBorder="1" applyAlignment="1">
      <alignment horizontal="center"/>
    </xf>
    <xf numFmtId="0" fontId="32" fillId="24" borderId="52" xfId="0" applyFont="1" applyFill="1" applyBorder="1" applyAlignment="1">
      <alignment horizontal="center"/>
    </xf>
    <xf numFmtId="164" fontId="23" fillId="2" borderId="0" xfId="0" applyNumberFormat="1" applyFont="1" applyFill="1" applyBorder="1" applyAlignment="1">
      <alignment horizontal="right"/>
    </xf>
    <xf numFmtId="0" fontId="15" fillId="42" borderId="10" xfId="0" applyFont="1" applyFill="1" applyBorder="1" applyAlignment="1">
      <alignment horizontal="center" wrapText="1"/>
    </xf>
    <xf numFmtId="0" fontId="32" fillId="11" borderId="73" xfId="0" applyFont="1" applyFill="1" applyBorder="1" applyAlignment="1">
      <alignment horizontal="center" vertical="center"/>
    </xf>
    <xf numFmtId="0" fontId="20" fillId="42" borderId="10" xfId="0" applyFont="1" applyFill="1" applyBorder="1" applyAlignment="1">
      <alignment horizontal="center"/>
    </xf>
    <xf numFmtId="164" fontId="33" fillId="34" borderId="55" xfId="0" applyNumberFormat="1" applyFont="1" applyFill="1" applyBorder="1" applyAlignment="1">
      <alignment horizontal="left"/>
    </xf>
    <xf numFmtId="164" fontId="33" fillId="34" borderId="57" xfId="0" applyNumberFormat="1" applyFont="1" applyFill="1" applyBorder="1" applyAlignment="1">
      <alignment horizontal="left"/>
    </xf>
    <xf numFmtId="164" fontId="33" fillId="34" borderId="56" xfId="0" applyNumberFormat="1" applyFont="1" applyFill="1" applyBorder="1" applyAlignment="1">
      <alignment horizontal="left"/>
    </xf>
    <xf numFmtId="0" fontId="33" fillId="34" borderId="50" xfId="0" applyFont="1" applyFill="1" applyBorder="1" applyAlignment="1">
      <alignment horizontal="left"/>
    </xf>
    <xf numFmtId="0" fontId="33" fillId="34" borderId="51" xfId="0" applyFont="1" applyFill="1" applyBorder="1" applyAlignment="1">
      <alignment horizontal="left"/>
    </xf>
    <xf numFmtId="0" fontId="33" fillId="34" borderId="52" xfId="0" applyFont="1" applyFill="1" applyBorder="1" applyAlignment="1">
      <alignment horizontal="left"/>
    </xf>
    <xf numFmtId="164" fontId="23" fillId="38" borderId="0" xfId="0" applyNumberFormat="1" applyFont="1" applyFill="1" applyBorder="1" applyAlignment="1">
      <alignment horizontal="right"/>
    </xf>
    <xf numFmtId="0" fontId="15" fillId="43" borderId="10" xfId="0" applyFont="1" applyFill="1" applyBorder="1" applyAlignment="1">
      <alignment horizontal="center" wrapText="1"/>
    </xf>
    <xf numFmtId="0" fontId="32" fillId="39" borderId="34" xfId="0" applyFont="1" applyFill="1" applyBorder="1" applyAlignment="1">
      <alignment horizontal="center" vertical="center"/>
    </xf>
    <xf numFmtId="0" fontId="32" fillId="39" borderId="38" xfId="0" applyFont="1" applyFill="1" applyBorder="1" applyAlignment="1">
      <alignment horizontal="center" vertical="center"/>
    </xf>
    <xf numFmtId="0" fontId="32" fillId="39" borderId="35" xfId="0" applyFont="1" applyFill="1" applyBorder="1" applyAlignment="1">
      <alignment horizontal="center"/>
    </xf>
    <xf numFmtId="1" fontId="32" fillId="39" borderId="35" xfId="0" applyNumberFormat="1" applyFont="1" applyFill="1" applyBorder="1" applyAlignment="1">
      <alignment horizontal="center"/>
    </xf>
    <xf numFmtId="0" fontId="20" fillId="43" borderId="10" xfId="0" applyFont="1" applyFill="1" applyBorder="1" applyAlignment="1">
      <alignment horizontal="center"/>
    </xf>
    <xf numFmtId="164" fontId="33" fillId="37" borderId="50" xfId="0" applyNumberFormat="1" applyFont="1" applyFill="1" applyBorder="1" applyAlignment="1"/>
    <xf numFmtId="164" fontId="33" fillId="37" borderId="51" xfId="0" applyNumberFormat="1" applyFont="1" applyFill="1" applyBorder="1" applyAlignment="1"/>
    <xf numFmtId="164" fontId="33" fillId="37" borderId="52" xfId="0" applyNumberFormat="1" applyFont="1" applyFill="1" applyBorder="1" applyAlignment="1"/>
    <xf numFmtId="164" fontId="23" fillId="40" borderId="35" xfId="0" applyNumberFormat="1" applyFont="1" applyFill="1" applyBorder="1" applyAlignment="1">
      <alignment horizontal="right"/>
    </xf>
    <xf numFmtId="164" fontId="23" fillId="40" borderId="71" xfId="0" applyNumberFormat="1" applyFont="1" applyFill="1" applyBorder="1" applyAlignment="1">
      <alignment horizontal="right"/>
    </xf>
    <xf numFmtId="0" fontId="15" fillId="44" borderId="10" xfId="0" applyFont="1" applyFill="1" applyBorder="1" applyAlignment="1">
      <alignment horizontal="center" wrapText="1"/>
    </xf>
    <xf numFmtId="0" fontId="32" fillId="28" borderId="34" xfId="0" applyFont="1" applyFill="1" applyBorder="1" applyAlignment="1">
      <alignment horizontal="center" vertical="center"/>
    </xf>
    <xf numFmtId="0" fontId="32" fillId="28" borderId="38" xfId="0" applyFont="1" applyFill="1" applyBorder="1" applyAlignment="1">
      <alignment horizontal="center" vertical="center"/>
    </xf>
    <xf numFmtId="0" fontId="32" fillId="28" borderId="35" xfId="0" applyFont="1" applyFill="1" applyBorder="1" applyAlignment="1">
      <alignment horizontal="center"/>
    </xf>
    <xf numFmtId="1" fontId="32" fillId="28" borderId="35" xfId="0" applyNumberFormat="1" applyFont="1" applyFill="1" applyBorder="1" applyAlignment="1">
      <alignment horizontal="center"/>
    </xf>
    <xf numFmtId="0" fontId="20" fillId="44" borderId="10" xfId="0" applyFont="1" applyFill="1" applyBorder="1" applyAlignment="1">
      <alignment horizontal="center"/>
    </xf>
    <xf numFmtId="164" fontId="33" fillId="27" borderId="50" xfId="0" applyNumberFormat="1" applyFont="1" applyFill="1" applyBorder="1" applyAlignment="1">
      <alignment horizontal="left"/>
    </xf>
    <xf numFmtId="164" fontId="33" fillId="27" borderId="51" xfId="0" applyNumberFormat="1" applyFont="1" applyFill="1" applyBorder="1" applyAlignment="1">
      <alignment horizontal="left"/>
    </xf>
    <xf numFmtId="164" fontId="33" fillId="27" borderId="52" xfId="0" applyNumberFormat="1" applyFont="1" applyFill="1" applyBorder="1" applyAlignment="1">
      <alignment horizontal="left"/>
    </xf>
    <xf numFmtId="0" fontId="33" fillId="27" borderId="50" xfId="0" applyFont="1" applyFill="1" applyBorder="1" applyAlignment="1">
      <alignment horizontal="left"/>
    </xf>
    <xf numFmtId="0" fontId="33" fillId="27" borderId="51" xfId="0" applyFont="1" applyFill="1" applyBorder="1" applyAlignment="1">
      <alignment horizontal="left"/>
    </xf>
    <xf numFmtId="0" fontId="33" fillId="27" borderId="52" xfId="0" applyFont="1" applyFill="1" applyBorder="1" applyAlignment="1">
      <alignment horizontal="left"/>
    </xf>
    <xf numFmtId="0" fontId="26" fillId="0" borderId="87" xfId="0" applyFont="1" applyBorder="1"/>
    <xf numFmtId="0" fontId="26" fillId="0" borderId="0" xfId="0" applyFont="1" applyBorder="1"/>
    <xf numFmtId="0" fontId="26" fillId="0" borderId="95" xfId="0" applyFont="1" applyBorder="1" applyAlignment="1">
      <alignment horizontal="left"/>
    </xf>
    <xf numFmtId="0" fontId="26" fillId="0" borderId="96" xfId="0" applyFont="1" applyBorder="1" applyAlignment="1">
      <alignment horizontal="left"/>
    </xf>
    <xf numFmtId="0" fontId="58" fillId="0" borderId="115" xfId="0" applyFont="1" applyBorder="1" applyAlignment="1">
      <alignment horizontal="center"/>
    </xf>
    <xf numFmtId="0" fontId="58" fillId="0" borderId="116" xfId="0" applyFont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8" fillId="0" borderId="114" xfId="0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0" fontId="0" fillId="0" borderId="118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114" xfId="0" applyFont="1" applyBorder="1" applyAlignment="1">
      <alignment horizontal="center"/>
    </xf>
    <xf numFmtId="0" fontId="28" fillId="0" borderId="110" xfId="0" applyFont="1" applyBorder="1" applyAlignment="1">
      <alignment horizontal="center" vertical="center" wrapText="1"/>
    </xf>
    <xf numFmtId="0" fontId="28" fillId="0" borderId="111" xfId="0" applyFont="1" applyBorder="1" applyAlignment="1">
      <alignment horizontal="center" vertical="center"/>
    </xf>
    <xf numFmtId="0" fontId="28" fillId="0" borderId="112" xfId="0" applyFont="1" applyBorder="1" applyAlignment="1">
      <alignment horizontal="center" vertical="center"/>
    </xf>
    <xf numFmtId="0" fontId="28" fillId="0" borderId="110" xfId="0" applyFont="1" applyBorder="1" applyAlignment="1">
      <alignment horizontal="center" wrapText="1"/>
    </xf>
    <xf numFmtId="0" fontId="0" fillId="0" borderId="111" xfId="0" applyFont="1" applyBorder="1" applyAlignment="1">
      <alignment horizontal="center"/>
    </xf>
    <xf numFmtId="0" fontId="0" fillId="0" borderId="112" xfId="0" applyFont="1" applyBorder="1" applyAlignment="1">
      <alignment horizontal="center"/>
    </xf>
    <xf numFmtId="1" fontId="8" fillId="53" borderId="32" xfId="0" applyNumberFormat="1" applyFont="1" applyFill="1" applyBorder="1" applyAlignment="1"/>
    <xf numFmtId="1" fontId="8" fillId="53" borderId="126" xfId="0" applyNumberFormat="1" applyFont="1" applyFill="1" applyBorder="1" applyAlignment="1"/>
    <xf numFmtId="0" fontId="26" fillId="4" borderId="20" xfId="0" applyFont="1" applyFill="1" applyBorder="1" applyAlignment="1">
      <alignment horizontal="center"/>
    </xf>
    <xf numFmtId="0" fontId="26" fillId="4" borderId="20" xfId="0" applyFont="1" applyFill="1" applyBorder="1" applyAlignment="1">
      <alignment horizontal="center" vertical="top"/>
    </xf>
    <xf numFmtId="0" fontId="0" fillId="4" borderId="20" xfId="0" applyFont="1" applyFill="1" applyBorder="1" applyAlignment="1">
      <alignment horizontal="center" vertical="top"/>
    </xf>
    <xf numFmtId="0" fontId="27" fillId="0" borderId="0" xfId="0" applyFont="1" applyBorder="1" applyAlignment="1">
      <alignment horizontal="center" vertical="center"/>
    </xf>
    <xf numFmtId="0" fontId="8" fillId="8" borderId="139" xfId="0" applyFont="1" applyFill="1" applyBorder="1" applyAlignment="1">
      <alignment horizontal="center"/>
    </xf>
    <xf numFmtId="0" fontId="8" fillId="8" borderId="140" xfId="0" applyFont="1" applyFill="1" applyBorder="1" applyAlignment="1">
      <alignment horizontal="center"/>
    </xf>
    <xf numFmtId="1" fontId="8" fillId="2" borderId="32" xfId="0" applyNumberFormat="1" applyFont="1" applyFill="1" applyBorder="1" applyAlignment="1"/>
    <xf numFmtId="0" fontId="45" fillId="0" borderId="0" xfId="0" applyFont="1" applyBorder="1" applyAlignment="1">
      <alignment horizontal="center" vertical="center"/>
    </xf>
    <xf numFmtId="0" fontId="13" fillId="8" borderId="137" xfId="0" applyFont="1" applyFill="1" applyBorder="1" applyAlignment="1">
      <alignment horizontal="center"/>
    </xf>
    <xf numFmtId="0" fontId="13" fillId="8" borderId="138" xfId="0" applyFont="1" applyFill="1" applyBorder="1" applyAlignment="1">
      <alignment horizontal="center"/>
    </xf>
    <xf numFmtId="0" fontId="0" fillId="4" borderId="24" xfId="0" applyFont="1" applyFill="1" applyBorder="1" applyAlignment="1">
      <alignment horizontal="left"/>
    </xf>
    <xf numFmtId="0" fontId="0" fillId="4" borderId="20" xfId="0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3" fillId="0" borderId="59" xfId="0" applyFont="1" applyFill="1" applyBorder="1" applyAlignment="1">
      <alignment horizontal="center" vertical="center"/>
    </xf>
    <xf numFmtId="0" fontId="43" fillId="0" borderId="60" xfId="0" applyFont="1" applyFill="1" applyBorder="1" applyAlignment="1">
      <alignment horizontal="center" vertical="center"/>
    </xf>
    <xf numFmtId="0" fontId="43" fillId="0" borderId="61" xfId="0" applyFont="1" applyFill="1" applyBorder="1" applyAlignment="1">
      <alignment horizontal="center" vertical="center"/>
    </xf>
  </cellXfs>
  <cellStyles count="2">
    <cellStyle name="Normale" xfId="0" builtinId="0"/>
    <cellStyle name="Normale_Foglio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5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755E"/>
      <rgbColor rgb="00969696"/>
      <rgbColor rgb="00003366"/>
      <rgbColor rgb="00339966"/>
      <rgbColor rgb="00003300"/>
      <rgbColor rgb="00333300"/>
      <rgbColor rgb="00993300"/>
      <rgbColor rgb="00993366"/>
      <rgbColor rgb="00464675"/>
      <rgbColor rgb="0046172F"/>
    </indexedColors>
    <mruColors>
      <color rgb="FFFFFF99"/>
      <color rgb="FFCCFFCC"/>
      <color rgb="FFCCFF99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93491124260359"/>
          <c:y val="0.27692446376434193"/>
          <c:w val="0.56213017751479299"/>
          <c:h val="0.61025946644364215"/>
        </c:manualLayout>
      </c:layout>
      <c:pie3DChart>
        <c:varyColors val="1"/>
        <c:ser>
          <c:idx val="0"/>
          <c:order val="0"/>
          <c:spPr>
            <a:solidFill>
              <a:srgbClr val="000000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cat>
            <c:strRef>
              <c:f>colazione!$H$53:$J$53</c:f>
              <c:strCache>
                <c:ptCount val="3"/>
                <c:pt idx="0">
                  <c:v>G</c:v>
                </c:pt>
                <c:pt idx="1">
                  <c:v>L</c:v>
                </c:pt>
                <c:pt idx="2">
                  <c:v>P</c:v>
                </c:pt>
              </c:strCache>
            </c:strRef>
          </c:cat>
          <c:val>
            <c:numRef>
              <c:f>colazione!$H$54:$J$54</c:f>
              <c:numCache>
                <c:formatCode>0</c:formatCode>
                <c:ptCount val="3"/>
                <c:pt idx="0">
                  <c:v>1903</c:v>
                </c:pt>
                <c:pt idx="1">
                  <c:v>199.8</c:v>
                </c:pt>
                <c:pt idx="2">
                  <c:v>88.12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319526627218933"/>
          <c:y val="4.1025641025641033E-2"/>
          <c:w val="0.3136094674556214"/>
          <c:h val="0.1384620768557776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702549575071"/>
          <c:y val="0.12834258110842744"/>
          <c:w val="0.39660056657223802"/>
          <c:h val="0.74866505646582693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0C0C0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cena!$P$25:$P$29</c:f>
              <c:strCache>
                <c:ptCount val="5"/>
                <c:pt idx="0">
                  <c:v>Colazione</c:v>
                </c:pt>
                <c:pt idx="1">
                  <c:v>Pranzo</c:v>
                </c:pt>
                <c:pt idx="2">
                  <c:v>Merenda</c:v>
                </c:pt>
                <c:pt idx="3">
                  <c:v>Spuntino</c:v>
                </c:pt>
                <c:pt idx="4">
                  <c:v>Cena</c:v>
                </c:pt>
              </c:strCache>
            </c:strRef>
          </c:cat>
          <c:val>
            <c:numRef>
              <c:f>cena!$Q$25:$Q$29</c:f>
              <c:numCache>
                <c:formatCode>0</c:formatCode>
                <c:ptCount val="5"/>
                <c:pt idx="0">
                  <c:v>40764.184000000001</c:v>
                </c:pt>
                <c:pt idx="1">
                  <c:v>21126.135000000002</c:v>
                </c:pt>
                <c:pt idx="2">
                  <c:v>20970.407999999999</c:v>
                </c:pt>
                <c:pt idx="3">
                  <c:v>11504.668999999998</c:v>
                </c:pt>
                <c:pt idx="4">
                  <c:v>32347.438599999998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20963172804544"/>
          <c:y val="0.24598986623998201"/>
          <c:w val="0.23512747875354112"/>
          <c:h val="0.5133701068115147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27383410588364"/>
          <c:y val="0.19795435740024026"/>
          <c:w val="0.67837070420604384"/>
          <c:h val="0.7044324035766717"/>
        </c:manualLayout>
      </c:layout>
      <c:pie3DChart>
        <c:varyColors val="1"/>
        <c:ser>
          <c:idx val="0"/>
          <c:order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Disp_ENERG!$I$33:$J$35</c:f>
              <c:strCache>
                <c:ptCount val="3"/>
                <c:pt idx="0">
                  <c:v>glucidi </c:v>
                </c:pt>
                <c:pt idx="1">
                  <c:v>lipidi </c:v>
                </c:pt>
                <c:pt idx="2">
                  <c:v>protidi </c:v>
                </c:pt>
              </c:strCache>
            </c:strRef>
          </c:cat>
          <c:val>
            <c:numRef>
              <c:f>Disp_ENERG!$K$33:$K$35</c:f>
              <c:numCache>
                <c:formatCode>0.0</c:formatCode>
                <c:ptCount val="3"/>
                <c:pt idx="0">
                  <c:v>385.50164976170112</c:v>
                </c:pt>
                <c:pt idx="1">
                  <c:v>85.610073816760746</c:v>
                </c:pt>
                <c:pt idx="2">
                  <c:v>96.375412440425279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spPr>
    <a:ln>
      <a:solidFill>
        <a:schemeClr val="accent1">
          <a:lumMod val="75000"/>
        </a:schemeClr>
      </a:solidFill>
    </a:ln>
  </c:sp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85999447437491"/>
          <c:y val="0.17827602484941182"/>
          <c:w val="0.66228139245752182"/>
          <c:h val="0.72422137880246973"/>
        </c:manualLayout>
      </c:layout>
      <c:pieChart>
        <c:varyColors val="1"/>
        <c:ser>
          <c:idx val="0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RISULTATI!$C$24:$C$26</c:f>
              <c:strCache>
                <c:ptCount val="3"/>
                <c:pt idx="0">
                  <c:v>G</c:v>
                </c:pt>
                <c:pt idx="1">
                  <c:v>L</c:v>
                </c:pt>
                <c:pt idx="2">
                  <c:v>P</c:v>
                </c:pt>
              </c:strCache>
            </c:strRef>
          </c:cat>
          <c:val>
            <c:numRef>
              <c:f>RISULTATI!$D$24:$D$26</c:f>
              <c:numCache>
                <c:formatCode>0.0</c:formatCode>
                <c:ptCount val="3"/>
                <c:pt idx="0">
                  <c:v>4395.78</c:v>
                </c:pt>
                <c:pt idx="1">
                  <c:v>1006.376</c:v>
                </c:pt>
                <c:pt idx="2">
                  <c:v>738.20999999999992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34"/>
      <c:depthPercent val="100"/>
      <c:rAngAx val="0"/>
      <c:perspective val="30"/>
    </c:view3D>
    <c:floor>
      <c:thickness val="0"/>
      <c:spPr>
        <a:solidFill>
          <a:schemeClr val="bg2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419097278578484E-2"/>
          <c:y val="4.166678776851912E-2"/>
          <c:w val="0.87988946825008241"/>
          <c:h val="0.7500021798333445"/>
        </c:manualLayout>
      </c:layout>
      <c:bar3DChart>
        <c:barDir val="col"/>
        <c:grouping val="clustered"/>
        <c:varyColors val="0"/>
        <c:ser>
          <c:idx val="0"/>
          <c:order val="0"/>
          <c:tx>
            <c:v>Fabbisogno energetico</c:v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464675"/>
                  </a:gs>
                  <a:gs pos="100000">
                    <a:srgbClr val="9999FF"/>
                  </a:gs>
                </a:gsLst>
                <a:path path="rect">
                  <a:fillToRect l="50000" t="50000" r="50000" b="50000"/>
                </a:path>
              </a:gradFill>
              <a:ln w="3175">
                <a:solidFill>
                  <a:srgbClr val="000000"/>
                </a:solidFill>
                <a:prstDash val="solid"/>
              </a:ln>
            </c:spPr>
          </c:dPt>
          <c:val>
            <c:numRef>
              <c:f>RISULTATI!$C$15</c:f>
              <c:numCache>
                <c:formatCode>0</c:formatCode>
                <c:ptCount val="1"/>
                <c:pt idx="0">
                  <c:v>77665.458966565348</c:v>
                </c:pt>
              </c:numCache>
            </c:numRef>
          </c:val>
        </c:ser>
        <c:ser>
          <c:idx val="1"/>
          <c:order val="1"/>
          <c:tx>
            <c:v>Energia assunta</c:v>
          </c:tx>
          <c:spPr>
            <a:gradFill rotWithShape="0">
              <a:gsLst>
                <a:gs pos="0">
                  <a:srgbClr val="750000"/>
                </a:gs>
                <a:gs pos="100000">
                  <a:srgbClr val="FF0000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RISULTATI!$C$33</c:f>
              <c:numCache>
                <c:formatCode>0</c:formatCode>
                <c:ptCount val="1"/>
                <c:pt idx="0">
                  <c:v>126712.83459999999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885248"/>
        <c:axId val="128673472"/>
        <c:axId val="0"/>
      </c:bar3DChart>
      <c:catAx>
        <c:axId val="128885248"/>
        <c:scaling>
          <c:orientation val="minMax"/>
        </c:scaling>
        <c:delete val="1"/>
        <c:axPos val="b"/>
        <c:majorTickMark val="out"/>
        <c:minorTickMark val="none"/>
        <c:tickLblPos val="none"/>
        <c:crossAx val="128673472"/>
        <c:crossesAt val="0"/>
        <c:auto val="1"/>
        <c:lblAlgn val="ctr"/>
        <c:lblOffset val="100"/>
        <c:noMultiLvlLbl val="1"/>
      </c:catAx>
      <c:valAx>
        <c:axId val="128673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28885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ayout>
        <c:manualLayout>
          <c:xMode val="edge"/>
          <c:yMode val="edge"/>
          <c:x val="1.9418071343132441E-2"/>
          <c:y val="0.7864148129024856"/>
          <c:w val="0.97234921590066847"/>
          <c:h val="0.192754758114252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152974504249313E-2"/>
          <c:y val="0.20000056612479089"/>
          <c:w val="0.58923512747875351"/>
          <c:h val="0.6029002573037176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0C0C0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cena!$P$25:$P$29</c:f>
              <c:strCache>
                <c:ptCount val="5"/>
                <c:pt idx="0">
                  <c:v>Colazione</c:v>
                </c:pt>
                <c:pt idx="1">
                  <c:v>Pranzo</c:v>
                </c:pt>
                <c:pt idx="2">
                  <c:v>Merenda</c:v>
                </c:pt>
                <c:pt idx="3">
                  <c:v>Spuntino</c:v>
                </c:pt>
                <c:pt idx="4">
                  <c:v>Cena</c:v>
                </c:pt>
              </c:strCache>
            </c:strRef>
          </c:cat>
          <c:val>
            <c:numRef>
              <c:f>cena!$Q$25:$Q$29</c:f>
              <c:numCache>
                <c:formatCode>0</c:formatCode>
                <c:ptCount val="5"/>
                <c:pt idx="0">
                  <c:v>40764.184000000001</c:v>
                </c:pt>
                <c:pt idx="1">
                  <c:v>21126.135000000002</c:v>
                </c:pt>
                <c:pt idx="2">
                  <c:v>20970.407999999999</c:v>
                </c:pt>
                <c:pt idx="3">
                  <c:v>11504.668999999998</c:v>
                </c:pt>
                <c:pt idx="4">
                  <c:v>32347.438599999998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340668780038869"/>
          <c:y val="0.57184374113900582"/>
          <c:w val="0.32393005419777082"/>
          <c:h val="0.4039761234831795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Ripartizione dell'energia settimanale assunta, in kcal</a:t>
            </a:r>
            <a:endParaRPr lang="it-IT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equilibrio!$C$6</c:f>
              <c:strCache>
                <c:ptCount val="1"/>
                <c:pt idx="0">
                  <c:v>kcal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equilibrio!$A$7:$A$13</c:f>
              <c:strCache>
                <c:ptCount val="7"/>
                <c:pt idx="0">
                  <c:v>Cereali e tuberi</c:v>
                </c:pt>
                <c:pt idx="1">
                  <c:v>Legumi</c:v>
                </c:pt>
                <c:pt idx="2">
                  <c:v>Frutta e verdura</c:v>
                </c:pt>
                <c:pt idx="3">
                  <c:v>Carne, pesce, uova</c:v>
                </c:pt>
                <c:pt idx="4">
                  <c:v>Latticini</c:v>
                </c:pt>
                <c:pt idx="5">
                  <c:v>Grassi aggiunti</c:v>
                </c:pt>
                <c:pt idx="6">
                  <c:v>Zuccheri aggiunti</c:v>
                </c:pt>
              </c:strCache>
            </c:strRef>
          </c:cat>
          <c:val>
            <c:numRef>
              <c:f>equilibrio!$C$7:$C$13</c:f>
              <c:numCache>
                <c:formatCode>0.0</c:formatCode>
                <c:ptCount val="7"/>
                <c:pt idx="0">
                  <c:v>10390.638303629332</c:v>
                </c:pt>
                <c:pt idx="1">
                  <c:v>906.0597957</c:v>
                </c:pt>
                <c:pt idx="2">
                  <c:v>1336.9151948820002</c:v>
                </c:pt>
                <c:pt idx="3">
                  <c:v>3869.3995873000003</c:v>
                </c:pt>
                <c:pt idx="4">
                  <c:v>2575.0818581836002</c:v>
                </c:pt>
                <c:pt idx="5">
                  <c:v>4097.6412350720002</c:v>
                </c:pt>
                <c:pt idx="6">
                  <c:v>8204.3289667469999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886144"/>
        <c:axId val="128678080"/>
        <c:axId val="0"/>
      </c:bar3DChart>
      <c:catAx>
        <c:axId val="130886144"/>
        <c:scaling>
          <c:orientation val="minMax"/>
        </c:scaling>
        <c:delete val="0"/>
        <c:axPos val="b"/>
        <c:majorTickMark val="out"/>
        <c:minorTickMark val="none"/>
        <c:tickLblPos val="nextTo"/>
        <c:crossAx val="128678080"/>
        <c:crosses val="autoZero"/>
        <c:auto val="1"/>
        <c:lblAlgn val="ctr"/>
        <c:lblOffset val="100"/>
        <c:noMultiLvlLbl val="0"/>
      </c:catAx>
      <c:valAx>
        <c:axId val="12867808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0886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Ripartizione dell'energia giornaliera assunta, in kcal</a:t>
            </a:r>
            <a:endParaRPr lang="it-IT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equilibrio!$C$23:$C$30</c:f>
              <c:strCache>
                <c:ptCount val="1"/>
                <c:pt idx="0">
                  <c:v>kcal 10390,6 906,1 1336,9 3869,4 2575,1 4097,6 8204,3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(equilibrio!$A$23:$A$30,equilibrio!$C$23:$C$30)</c:f>
              <c:strCache>
                <c:ptCount val="16"/>
                <c:pt idx="0">
                  <c:v>CATEGORIE</c:v>
                </c:pt>
                <c:pt idx="1">
                  <c:v>Cereali e tuberi</c:v>
                </c:pt>
                <c:pt idx="2">
                  <c:v>Legumi</c:v>
                </c:pt>
                <c:pt idx="3">
                  <c:v>Frutta e verdura</c:v>
                </c:pt>
                <c:pt idx="4">
                  <c:v>Carne, pesce, uova</c:v>
                </c:pt>
                <c:pt idx="5">
                  <c:v>Latticini</c:v>
                </c:pt>
                <c:pt idx="6">
                  <c:v>Grassi aggiunti</c:v>
                </c:pt>
                <c:pt idx="7">
                  <c:v>Zuccheri aggiunti</c:v>
                </c:pt>
                <c:pt idx="8">
                  <c:v>kcal</c:v>
                </c:pt>
                <c:pt idx="9">
                  <c:v>10390,6</c:v>
                </c:pt>
                <c:pt idx="10">
                  <c:v>906,1</c:v>
                </c:pt>
                <c:pt idx="11">
                  <c:v>1336,9</c:v>
                </c:pt>
                <c:pt idx="12">
                  <c:v>3869,4</c:v>
                </c:pt>
                <c:pt idx="13">
                  <c:v>2575,1</c:v>
                </c:pt>
                <c:pt idx="14">
                  <c:v>4097,6</c:v>
                </c:pt>
                <c:pt idx="15">
                  <c:v>8204,3</c:v>
                </c:pt>
              </c:strCache>
            </c:strRef>
          </c:cat>
          <c:val>
            <c:numRef>
              <c:f>equilibrio!$C$7:$C$13</c:f>
              <c:numCache>
                <c:formatCode>0.0</c:formatCode>
                <c:ptCount val="7"/>
                <c:pt idx="0">
                  <c:v>10390.638303629332</c:v>
                </c:pt>
                <c:pt idx="1">
                  <c:v>906.0597957</c:v>
                </c:pt>
                <c:pt idx="2">
                  <c:v>1336.9151948820002</c:v>
                </c:pt>
                <c:pt idx="3">
                  <c:v>3869.3995873000003</c:v>
                </c:pt>
                <c:pt idx="4">
                  <c:v>2575.0818581836002</c:v>
                </c:pt>
                <c:pt idx="5">
                  <c:v>4097.6412350720002</c:v>
                </c:pt>
                <c:pt idx="6">
                  <c:v>8204.3289667469999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190784"/>
        <c:axId val="127115264"/>
        <c:axId val="0"/>
      </c:bar3DChart>
      <c:catAx>
        <c:axId val="131190784"/>
        <c:scaling>
          <c:orientation val="minMax"/>
        </c:scaling>
        <c:delete val="0"/>
        <c:axPos val="b"/>
        <c:majorTickMark val="out"/>
        <c:minorTickMark val="none"/>
        <c:tickLblPos val="nextTo"/>
        <c:crossAx val="127115264"/>
        <c:crosses val="autoZero"/>
        <c:auto val="1"/>
        <c:lblAlgn val="ctr"/>
        <c:lblOffset val="100"/>
        <c:noMultiLvlLbl val="0"/>
      </c:catAx>
      <c:valAx>
        <c:axId val="12711526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1190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19252679347301"/>
          <c:y val="0.12254960626151898"/>
          <c:w val="0.43785431523193435"/>
          <c:h val="0.75980755882141759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colazione!$P$25:$P$29</c:f>
              <c:strCache>
                <c:ptCount val="5"/>
                <c:pt idx="0">
                  <c:v>Colazione</c:v>
                </c:pt>
                <c:pt idx="1">
                  <c:v>Pranzo</c:v>
                </c:pt>
                <c:pt idx="2">
                  <c:v>Merenda</c:v>
                </c:pt>
                <c:pt idx="3">
                  <c:v>Spuntino</c:v>
                </c:pt>
                <c:pt idx="4">
                  <c:v>Cena</c:v>
                </c:pt>
              </c:strCache>
            </c:strRef>
          </c:cat>
          <c:val>
            <c:numRef>
              <c:f>colazione!$Q$25:$Q$29</c:f>
              <c:numCache>
                <c:formatCode>0</c:formatCode>
                <c:ptCount val="5"/>
                <c:pt idx="0">
                  <c:v>40764.184000000001</c:v>
                </c:pt>
                <c:pt idx="1">
                  <c:v>21126.135000000002</c:v>
                </c:pt>
                <c:pt idx="2">
                  <c:v>20970.407999999999</c:v>
                </c:pt>
                <c:pt idx="3">
                  <c:v>11504.668999999998</c:v>
                </c:pt>
                <c:pt idx="4">
                  <c:v>32347.438599999998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93992911902962"/>
          <c:y val="0.26960938706191134"/>
          <c:w val="0.23446386998235391"/>
          <c:h val="0.4705902938603263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10059171597633"/>
          <c:y val="0.26865802169825531"/>
          <c:w val="0.58875739644970415"/>
          <c:h val="0.62189356874596136"/>
        </c:manualLayout>
      </c:layout>
      <c:pie3DChart>
        <c:varyColors val="1"/>
        <c:ser>
          <c:idx val="0"/>
          <c:order val="0"/>
          <c:spPr>
            <a:solidFill>
              <a:srgbClr val="000000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cat>
            <c:strRef>
              <c:f>pranzo!$H$176:$J$176</c:f>
              <c:strCache>
                <c:ptCount val="3"/>
                <c:pt idx="0">
                  <c:v>G</c:v>
                </c:pt>
                <c:pt idx="1">
                  <c:v>L</c:v>
                </c:pt>
                <c:pt idx="2">
                  <c:v>P</c:v>
                </c:pt>
              </c:strCache>
            </c:strRef>
          </c:cat>
          <c:val>
            <c:numRef>
              <c:f>pranzo!$H$177:$J$177</c:f>
              <c:numCache>
                <c:formatCode>0.0</c:formatCode>
                <c:ptCount val="3"/>
                <c:pt idx="0">
                  <c:v>560.77</c:v>
                </c:pt>
                <c:pt idx="1">
                  <c:v>224.13</c:v>
                </c:pt>
                <c:pt idx="2">
                  <c:v>199.64000000000001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319526627218933"/>
          <c:y val="3.9800995024875635E-2"/>
          <c:w val="0.3136094674556214"/>
          <c:h val="0.1343288805317246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702549575071"/>
          <c:y val="0.12834258110842744"/>
          <c:w val="0.39660056657223802"/>
          <c:h val="0.74866505646582693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pranzo!$P$26:$P$30</c:f>
              <c:strCache>
                <c:ptCount val="5"/>
                <c:pt idx="0">
                  <c:v>Colazione</c:v>
                </c:pt>
                <c:pt idx="1">
                  <c:v>Pranzo</c:v>
                </c:pt>
                <c:pt idx="2">
                  <c:v>Merenda</c:v>
                </c:pt>
                <c:pt idx="3">
                  <c:v>Spuntino</c:v>
                </c:pt>
                <c:pt idx="4">
                  <c:v>Cena</c:v>
                </c:pt>
              </c:strCache>
            </c:strRef>
          </c:cat>
          <c:val>
            <c:numRef>
              <c:f>pranzo!$Q$26:$Q$30</c:f>
              <c:numCache>
                <c:formatCode>0</c:formatCode>
                <c:ptCount val="5"/>
                <c:pt idx="0">
                  <c:v>40764.184000000001</c:v>
                </c:pt>
                <c:pt idx="1">
                  <c:v>21126.135000000002</c:v>
                </c:pt>
                <c:pt idx="2">
                  <c:v>20970.407999999999</c:v>
                </c:pt>
                <c:pt idx="3">
                  <c:v>11504.668999999998</c:v>
                </c:pt>
                <c:pt idx="4">
                  <c:v>32347.438599999998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20963172804544"/>
          <c:y val="0.24598986623998201"/>
          <c:w val="0.23512747875354112"/>
          <c:h val="0.5133701068115147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14201183431951"/>
          <c:y val="0.26732737886607288"/>
          <c:w val="0.5946745562130179"/>
          <c:h val="0.6237638840208366"/>
        </c:manualLayout>
      </c:layout>
      <c:pie3DChart>
        <c:varyColors val="1"/>
        <c:ser>
          <c:idx val="0"/>
          <c:order val="0"/>
          <c:spPr>
            <a:solidFill>
              <a:srgbClr val="000000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cat>
            <c:strRef>
              <c:f>merenda!$H$89:$J$89</c:f>
              <c:strCache>
                <c:ptCount val="3"/>
                <c:pt idx="0">
                  <c:v>G</c:v>
                </c:pt>
                <c:pt idx="1">
                  <c:v>L</c:v>
                </c:pt>
                <c:pt idx="2">
                  <c:v>P</c:v>
                </c:pt>
              </c:strCache>
            </c:strRef>
          </c:cat>
          <c:val>
            <c:numRef>
              <c:f>merenda!$H$90:$J$90</c:f>
              <c:numCache>
                <c:formatCode>0.0</c:formatCode>
                <c:ptCount val="3"/>
                <c:pt idx="0">
                  <c:v>791.83999999999992</c:v>
                </c:pt>
                <c:pt idx="1">
                  <c:v>160.69</c:v>
                </c:pt>
                <c:pt idx="2">
                  <c:v>102.08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319526627218933"/>
          <c:y val="3.9603960396039611E-2"/>
          <c:w val="0.3136094674556214"/>
          <c:h val="0.1336638860736467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702549575071"/>
          <c:y val="0.12834258110842744"/>
          <c:w val="0.39660056657223802"/>
          <c:h val="0.74866505646582693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merenda!$P$21:$P$26</c:f>
              <c:strCache>
                <c:ptCount val="6"/>
                <c:pt idx="1">
                  <c:v>Colazione</c:v>
                </c:pt>
                <c:pt idx="2">
                  <c:v>Pranzo</c:v>
                </c:pt>
                <c:pt idx="3">
                  <c:v>Merenda</c:v>
                </c:pt>
                <c:pt idx="4">
                  <c:v>Spuntino</c:v>
                </c:pt>
                <c:pt idx="5">
                  <c:v>Cena</c:v>
                </c:pt>
              </c:strCache>
            </c:strRef>
          </c:cat>
          <c:val>
            <c:numRef>
              <c:f>merenda!$Q$21:$Q$26</c:f>
              <c:numCache>
                <c:formatCode>0</c:formatCode>
                <c:ptCount val="6"/>
                <c:pt idx="0">
                  <c:v>0</c:v>
                </c:pt>
                <c:pt idx="1">
                  <c:v>40764.184000000001</c:v>
                </c:pt>
                <c:pt idx="2">
                  <c:v>21126.135000000002</c:v>
                </c:pt>
                <c:pt idx="3">
                  <c:v>20970.407999999999</c:v>
                </c:pt>
                <c:pt idx="4">
                  <c:v>11504.668999999998</c:v>
                </c:pt>
                <c:pt idx="5">
                  <c:v>32347.438599999998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20963172804544"/>
          <c:y val="0.24598986623998201"/>
          <c:w val="0.23512747875354112"/>
          <c:h val="0.5133701068115147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14201183431951"/>
          <c:y val="0.26732737886607288"/>
          <c:w val="0.5946745562130179"/>
          <c:h val="0.6237638840208366"/>
        </c:manualLayout>
      </c:layout>
      <c:pie3DChart>
        <c:varyColors val="1"/>
        <c:ser>
          <c:idx val="0"/>
          <c:order val="0"/>
          <c:spPr>
            <a:solidFill>
              <a:srgbClr val="000000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cat>
            <c:numRef>
              <c:f>spuntino!$H$82:$J$82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spuntino!$H$83:$J$83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9289940828402372"/>
          <c:y val="3.9603960396039611E-2"/>
          <c:w val="0.41420118343195261"/>
          <c:h val="0.1336638860736467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702549575071"/>
          <c:y val="0.12834258110842744"/>
          <c:w val="0.39660056657223802"/>
          <c:h val="0.74866505646582693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spuntino!$P$25:$P$29</c:f>
              <c:strCache>
                <c:ptCount val="5"/>
                <c:pt idx="0">
                  <c:v>Colazione</c:v>
                </c:pt>
                <c:pt idx="1">
                  <c:v>Pranzo</c:v>
                </c:pt>
                <c:pt idx="2">
                  <c:v>Merenda</c:v>
                </c:pt>
                <c:pt idx="3">
                  <c:v>Spuntino</c:v>
                </c:pt>
                <c:pt idx="4">
                  <c:v>Cena</c:v>
                </c:pt>
              </c:strCache>
            </c:strRef>
          </c:cat>
          <c:val>
            <c:numRef>
              <c:f>spuntino!$Q$25:$Q$29</c:f>
              <c:numCache>
                <c:formatCode>0</c:formatCode>
                <c:ptCount val="5"/>
                <c:pt idx="0">
                  <c:v>40764.184000000001</c:v>
                </c:pt>
                <c:pt idx="1">
                  <c:v>21126.135000000002</c:v>
                </c:pt>
                <c:pt idx="2">
                  <c:v>20970.407999999999</c:v>
                </c:pt>
                <c:pt idx="3">
                  <c:v>11504.668999999998</c:v>
                </c:pt>
                <c:pt idx="4">
                  <c:v>32347.438599999998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20963172804544"/>
          <c:y val="0.24598986623998201"/>
          <c:w val="0.23512747875354112"/>
          <c:h val="0.5133701068115147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10059171597633"/>
          <c:y val="0.26865802169825531"/>
          <c:w val="0.58875739644970415"/>
          <c:h val="0.62189356874596136"/>
        </c:manualLayout>
      </c:layout>
      <c:pie3DChart>
        <c:varyColors val="1"/>
        <c:ser>
          <c:idx val="0"/>
          <c:order val="0"/>
          <c:spPr>
            <a:solidFill>
              <a:srgbClr val="000000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cat>
            <c:strRef>
              <c:f>cena!$H$176:$J$176</c:f>
              <c:strCache>
                <c:ptCount val="3"/>
                <c:pt idx="0">
                  <c:v>G</c:v>
                </c:pt>
                <c:pt idx="1">
                  <c:v>L</c:v>
                </c:pt>
                <c:pt idx="2">
                  <c:v>P</c:v>
                </c:pt>
              </c:strCache>
            </c:strRef>
          </c:cat>
          <c:val>
            <c:numRef>
              <c:f>cena!$H$177:$J$177</c:f>
              <c:numCache>
                <c:formatCode>0.0</c:formatCode>
                <c:ptCount val="3"/>
                <c:pt idx="0">
                  <c:v>696.42</c:v>
                </c:pt>
                <c:pt idx="1">
                  <c:v>421.75599999999997</c:v>
                </c:pt>
                <c:pt idx="2">
                  <c:v>290.96999999999997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319526627218933"/>
          <c:y val="3.9800995024875635E-2"/>
          <c:w val="0.3136094674556214"/>
          <c:h val="0.1343288805317246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5</xdr:row>
      <xdr:rowOff>9525</xdr:rowOff>
    </xdr:from>
    <xdr:to>
      <xdr:col>18</xdr:col>
      <xdr:colOff>419100</xdr:colOff>
      <xdr:row>16</xdr:row>
      <xdr:rowOff>142875</xdr:rowOff>
    </xdr:to>
    <xdr:graphicFrame macro="">
      <xdr:nvGraphicFramePr>
        <xdr:cNvPr id="206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29</xdr:row>
      <xdr:rowOff>0</xdr:rowOff>
    </xdr:from>
    <xdr:to>
      <xdr:col>19</xdr:col>
      <xdr:colOff>9525</xdr:colOff>
      <xdr:row>42</xdr:row>
      <xdr:rowOff>114300</xdr:rowOff>
    </xdr:to>
    <xdr:graphicFrame macro="">
      <xdr:nvGraphicFramePr>
        <xdr:cNvPr id="206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6</xdr:row>
      <xdr:rowOff>9525</xdr:rowOff>
    </xdr:from>
    <xdr:to>
      <xdr:col>18</xdr:col>
      <xdr:colOff>419100</xdr:colOff>
      <xdr:row>17</xdr:row>
      <xdr:rowOff>142875</xdr:rowOff>
    </xdr:to>
    <xdr:graphicFrame macro="">
      <xdr:nvGraphicFramePr>
        <xdr:cNvPr id="515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28</xdr:row>
      <xdr:rowOff>161925</xdr:rowOff>
    </xdr:from>
    <xdr:to>
      <xdr:col>19</xdr:col>
      <xdr:colOff>0</xdr:colOff>
      <xdr:row>40</xdr:row>
      <xdr:rowOff>0</xdr:rowOff>
    </xdr:to>
    <xdr:graphicFrame macro="">
      <xdr:nvGraphicFramePr>
        <xdr:cNvPr id="515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6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63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63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74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74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6</xdr:row>
      <xdr:rowOff>9525</xdr:rowOff>
    </xdr:from>
    <xdr:to>
      <xdr:col>18</xdr:col>
      <xdr:colOff>419100</xdr:colOff>
      <xdr:row>17</xdr:row>
      <xdr:rowOff>142875</xdr:rowOff>
    </xdr:to>
    <xdr:graphicFrame macro="">
      <xdr:nvGraphicFramePr>
        <xdr:cNvPr id="6193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29</xdr:row>
      <xdr:rowOff>0</xdr:rowOff>
    </xdr:from>
    <xdr:to>
      <xdr:col>19</xdr:col>
      <xdr:colOff>0</xdr:colOff>
      <xdr:row>42</xdr:row>
      <xdr:rowOff>0</xdr:rowOff>
    </xdr:to>
    <xdr:graphicFrame macro="">
      <xdr:nvGraphicFramePr>
        <xdr:cNvPr id="6194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11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112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22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229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229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229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9525</xdr:colOff>
      <xdr:row>17</xdr:row>
      <xdr:rowOff>0</xdr:rowOff>
    </xdr:to>
    <xdr:graphicFrame macro="">
      <xdr:nvGraphicFramePr>
        <xdr:cNvPr id="71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2895600</xdr:colOff>
      <xdr:row>33</xdr:row>
      <xdr:rowOff>19050</xdr:rowOff>
    </xdr:to>
    <xdr:graphicFrame macro="">
      <xdr:nvGraphicFramePr>
        <xdr:cNvPr id="71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1</xdr:row>
      <xdr:rowOff>0</xdr:rowOff>
    </xdr:from>
    <xdr:to>
      <xdr:col>6</xdr:col>
      <xdr:colOff>3409950</xdr:colOff>
      <xdr:row>17</xdr:row>
      <xdr:rowOff>428625</xdr:rowOff>
    </xdr:to>
    <xdr:graphicFrame macro="">
      <xdr:nvGraphicFramePr>
        <xdr:cNvPr id="71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18</xdr:row>
      <xdr:rowOff>57150</xdr:rowOff>
    </xdr:from>
    <xdr:to>
      <xdr:col>6</xdr:col>
      <xdr:colOff>3667125</xdr:colOff>
      <xdr:row>33</xdr:row>
      <xdr:rowOff>762000</xdr:rowOff>
    </xdr:to>
    <xdr:graphicFrame macro="">
      <xdr:nvGraphicFramePr>
        <xdr:cNvPr id="718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368300</xdr:colOff>
      <xdr:row>17</xdr:row>
      <xdr:rowOff>76200</xdr:rowOff>
    </xdr:from>
    <xdr:to>
      <xdr:col>6</xdr:col>
      <xdr:colOff>3073400</xdr:colOff>
      <xdr:row>17</xdr:row>
      <xdr:rowOff>368300</xdr:rowOff>
    </xdr:to>
    <xdr:sp macro="" textlink="">
      <xdr:nvSpPr>
        <xdr:cNvPr id="2" name="CasellaDiTesto 1"/>
        <xdr:cNvSpPr txBox="1"/>
      </xdr:nvSpPr>
      <xdr:spPr>
        <a:xfrm>
          <a:off x="4483100" y="4152900"/>
          <a:ext cx="270510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200">
              <a:latin typeface="Arial Black" panose="020B0A04020102020204" pitchFamily="34" charset="0"/>
            </a:rPr>
            <a:t>Elaborazione settimanale</a:t>
          </a:r>
        </a:p>
      </xdr:txBody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0.04188</cdr:x>
      <cdr:y>0.79813</cdr:y>
    </cdr:from>
    <cdr:to>
      <cdr:x>0.04188</cdr:x>
      <cdr:y>0.79813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371" y="256512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0.0819</cdr:x>
      <cdr:y>0.80055</cdr:y>
    </cdr:from>
    <cdr:to>
      <cdr:x>0.0819</cdr:x>
      <cdr:y>0.80055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43" y="2641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0.0819</cdr:x>
      <cdr:y>0.80055</cdr:y>
    </cdr:from>
    <cdr:to>
      <cdr:x>0.0819</cdr:x>
      <cdr:y>0.80055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43" y="2641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0.0819</cdr:x>
      <cdr:y>0.80055</cdr:y>
    </cdr:from>
    <cdr:to>
      <cdr:x>0.0819</cdr:x>
      <cdr:y>0.80055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43" y="2641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0.0819</cdr:x>
      <cdr:y>0.80055</cdr:y>
    </cdr:from>
    <cdr:to>
      <cdr:x>0.0819</cdr:x>
      <cdr:y>0.80055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43" y="2641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0.0819</cdr:x>
      <cdr:y>0.80055</cdr:y>
    </cdr:from>
    <cdr:to>
      <cdr:x>0.0819</cdr:x>
      <cdr:y>0.80055</cdr:y>
    </cdr:to>
    <cdr:sp macro="" textlink="">
      <cdr:nvSpPr>
        <cdr:cNvPr id="235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43" y="2641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14</xdr:row>
      <xdr:rowOff>38100</xdr:rowOff>
    </xdr:from>
    <xdr:to>
      <xdr:col>3</xdr:col>
      <xdr:colOff>50800</xdr:colOff>
      <xdr:row>14</xdr:row>
      <xdr:rowOff>38100</xdr:rowOff>
    </xdr:to>
    <xdr:cxnSp macro="">
      <xdr:nvCxnSpPr>
        <xdr:cNvPr id="5" name="Connettore 1 4"/>
        <xdr:cNvCxnSpPr/>
      </xdr:nvCxnSpPr>
      <xdr:spPr bwMode="auto">
        <a:xfrm>
          <a:off x="2260600" y="3263900"/>
          <a:ext cx="1727200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114300</xdr:colOff>
      <xdr:row>17</xdr:row>
      <xdr:rowOff>63500</xdr:rowOff>
    </xdr:from>
    <xdr:to>
      <xdr:col>3</xdr:col>
      <xdr:colOff>63500</xdr:colOff>
      <xdr:row>17</xdr:row>
      <xdr:rowOff>63500</xdr:rowOff>
    </xdr:to>
    <xdr:cxnSp macro="">
      <xdr:nvCxnSpPr>
        <xdr:cNvPr id="7" name="Connettore 1 6"/>
        <xdr:cNvCxnSpPr/>
      </xdr:nvCxnSpPr>
      <xdr:spPr bwMode="auto">
        <a:xfrm>
          <a:off x="2273300" y="3886200"/>
          <a:ext cx="1727200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114300</xdr:colOff>
      <xdr:row>2</xdr:row>
      <xdr:rowOff>152400</xdr:rowOff>
    </xdr:from>
    <xdr:to>
      <xdr:col>13</xdr:col>
      <xdr:colOff>292100</xdr:colOff>
      <xdr:row>20</xdr:row>
      <xdr:rowOff>114300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101600</xdr:colOff>
      <xdr:row>31</xdr:row>
      <xdr:rowOff>38100</xdr:rowOff>
    </xdr:from>
    <xdr:to>
      <xdr:col>3</xdr:col>
      <xdr:colOff>50800</xdr:colOff>
      <xdr:row>31</xdr:row>
      <xdr:rowOff>38100</xdr:rowOff>
    </xdr:to>
    <xdr:cxnSp macro="">
      <xdr:nvCxnSpPr>
        <xdr:cNvPr id="8" name="Connettore 1 7"/>
        <xdr:cNvCxnSpPr/>
      </xdr:nvCxnSpPr>
      <xdr:spPr bwMode="auto">
        <a:xfrm>
          <a:off x="2260600" y="3263900"/>
          <a:ext cx="1727200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114300</xdr:colOff>
      <xdr:row>34</xdr:row>
      <xdr:rowOff>63500</xdr:rowOff>
    </xdr:from>
    <xdr:to>
      <xdr:col>3</xdr:col>
      <xdr:colOff>63500</xdr:colOff>
      <xdr:row>34</xdr:row>
      <xdr:rowOff>63500</xdr:rowOff>
    </xdr:to>
    <xdr:cxnSp macro="">
      <xdr:nvCxnSpPr>
        <xdr:cNvPr id="9" name="Connettore 1 8"/>
        <xdr:cNvCxnSpPr/>
      </xdr:nvCxnSpPr>
      <xdr:spPr bwMode="auto">
        <a:xfrm>
          <a:off x="2273300" y="3898900"/>
          <a:ext cx="1727200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0</xdr:colOff>
      <xdr:row>22</xdr:row>
      <xdr:rowOff>0</xdr:rowOff>
    </xdr:from>
    <xdr:to>
      <xdr:col>13</xdr:col>
      <xdr:colOff>177800</xdr:colOff>
      <xdr:row>41</xdr:row>
      <xdr:rowOff>114300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0.21831</cdr:x>
      <cdr:y>0.88268</cdr:y>
    </cdr:from>
    <cdr:to>
      <cdr:x>0.21831</cdr:x>
      <cdr:y>0.88268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099" y="165104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0.21831</cdr:x>
      <cdr:y>0.88268</cdr:y>
    </cdr:from>
    <cdr:to>
      <cdr:x>0.21831</cdr:x>
      <cdr:y>0.88268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099" y="165104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0.21831</cdr:x>
      <cdr:y>0.88268</cdr:y>
    </cdr:from>
    <cdr:to>
      <cdr:x>0.21831</cdr:x>
      <cdr:y>0.88268</cdr:y>
    </cdr:to>
    <cdr:sp macro="" textlink="">
      <cdr:nvSpPr>
        <cdr:cNvPr id="18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099" y="165104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0.15767</cdr:x>
      <cdr:y>0.87811</cdr:y>
    </cdr:from>
    <cdr:to>
      <cdr:x>0.15767</cdr:x>
      <cdr:y>0.87811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25" y="171779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0.15767</cdr:x>
      <cdr:y>0.87811</cdr:y>
    </cdr:from>
    <cdr:to>
      <cdr:x>0.15767</cdr:x>
      <cdr:y>0.87811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25" y="171779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0.15767</cdr:x>
      <cdr:y>0.87811</cdr:y>
    </cdr:from>
    <cdr:to>
      <cdr:x>0.15767</cdr:x>
      <cdr:y>0.87811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25" y="171779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0.15767</cdr:x>
      <cdr:y>0.87811</cdr:y>
    </cdr:from>
    <cdr:to>
      <cdr:x>0.15767</cdr:x>
      <cdr:y>0.87811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25" y="171779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0.15767</cdr:x>
      <cdr:y>0.87811</cdr:y>
    </cdr:from>
    <cdr:to>
      <cdr:x>0.15767</cdr:x>
      <cdr:y>0.87811</cdr:y>
    </cdr:to>
    <cdr:sp macro="" textlink="">
      <cdr:nvSpPr>
        <cdr:cNvPr id="194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25" y="171779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6</xdr:row>
      <xdr:rowOff>9525</xdr:rowOff>
    </xdr:from>
    <xdr:to>
      <xdr:col>18</xdr:col>
      <xdr:colOff>419100</xdr:colOff>
      <xdr:row>17</xdr:row>
      <xdr:rowOff>142875</xdr:rowOff>
    </xdr:to>
    <xdr:graphicFrame macro="">
      <xdr:nvGraphicFramePr>
        <xdr:cNvPr id="3121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30</xdr:row>
      <xdr:rowOff>0</xdr:rowOff>
    </xdr:from>
    <xdr:to>
      <xdr:col>19</xdr:col>
      <xdr:colOff>0</xdr:colOff>
      <xdr:row>46</xdr:row>
      <xdr:rowOff>0</xdr:rowOff>
    </xdr:to>
    <xdr:graphicFrame macro="">
      <xdr:nvGraphicFramePr>
        <xdr:cNvPr id="3122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02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6</xdr:row>
      <xdr:rowOff>9525</xdr:rowOff>
    </xdr:from>
    <xdr:to>
      <xdr:col>18</xdr:col>
      <xdr:colOff>419100</xdr:colOff>
      <xdr:row>13</xdr:row>
      <xdr:rowOff>142875</xdr:rowOff>
    </xdr:to>
    <xdr:graphicFrame macro="">
      <xdr:nvGraphicFramePr>
        <xdr:cNvPr id="4127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25</xdr:row>
      <xdr:rowOff>161925</xdr:rowOff>
    </xdr:from>
    <xdr:to>
      <xdr:col>19</xdr:col>
      <xdr:colOff>0</xdr:colOff>
      <xdr:row>36</xdr:row>
      <xdr:rowOff>0</xdr:rowOff>
    </xdr:to>
    <xdr:graphicFrame macro="">
      <xdr:nvGraphicFramePr>
        <xdr:cNvPr id="4128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4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53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536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536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12"/>
  <sheetViews>
    <sheetView topLeftCell="D4" workbookViewId="0">
      <selection activeCell="C18" sqref="C18"/>
    </sheetView>
  </sheetViews>
  <sheetFormatPr defaultColWidth="11" defaultRowHeight="12.75" x14ac:dyDescent="0.2"/>
  <cols>
    <col min="1" max="1" width="20.5703125" style="1" customWidth="1"/>
    <col min="2" max="2" width="13.140625" style="1" customWidth="1"/>
    <col min="3" max="5" width="8.42578125" style="2" customWidth="1"/>
    <col min="6" max="6" width="9" style="2" customWidth="1"/>
    <col min="7" max="9" width="8.42578125" style="2" customWidth="1"/>
    <col min="10" max="10" width="11.7109375" style="2" customWidth="1"/>
    <col min="11" max="11" width="12.42578125" style="2" customWidth="1"/>
    <col min="12" max="12" width="13.85546875" style="1" customWidth="1"/>
    <col min="13" max="13" width="0.85546875" style="3" customWidth="1"/>
    <col min="14" max="28" width="11.42578125" customWidth="1"/>
    <col min="29" max="16384" width="11" style="4"/>
  </cols>
  <sheetData>
    <row r="1" spans="1:13" ht="18" customHeight="1" x14ac:dyDescent="0.3">
      <c r="A1" s="5" t="s">
        <v>22</v>
      </c>
      <c r="B1" s="295" t="s">
        <v>678</v>
      </c>
      <c r="C1" s="626" t="s">
        <v>24</v>
      </c>
      <c r="D1" s="626"/>
      <c r="E1" s="626"/>
      <c r="F1" s="626"/>
      <c r="G1" s="626"/>
      <c r="H1" s="626"/>
      <c r="I1" s="626"/>
      <c r="J1" s="626"/>
      <c r="K1" s="636" t="s">
        <v>373</v>
      </c>
      <c r="L1" s="636"/>
    </row>
    <row r="2" spans="1:13" ht="18" customHeight="1" x14ac:dyDescent="0.2">
      <c r="A2" s="5" t="s">
        <v>23</v>
      </c>
      <c r="B2" s="295" t="s">
        <v>679</v>
      </c>
      <c r="C2" s="626"/>
      <c r="D2" s="626"/>
      <c r="E2" s="626"/>
      <c r="F2" s="626"/>
      <c r="G2" s="626"/>
      <c r="H2" s="626"/>
      <c r="I2" s="626"/>
      <c r="J2" s="626"/>
      <c r="K2" s="6"/>
      <c r="L2" s="7"/>
    </row>
    <row r="3" spans="1:13" ht="4.5" customHeight="1" x14ac:dyDescent="0.2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8"/>
      <c r="M3" s="10"/>
    </row>
    <row r="4" spans="1:13" ht="11.25" customHeight="1" thickBot="1" x14ac:dyDescent="0.25">
      <c r="A4" s="7"/>
      <c r="B4" s="346" t="s">
        <v>98</v>
      </c>
      <c r="C4" s="627" t="s">
        <v>25</v>
      </c>
      <c r="D4" s="627"/>
      <c r="E4" s="627"/>
      <c r="F4" s="627"/>
      <c r="G4" s="627"/>
      <c r="H4" s="627"/>
      <c r="I4" s="627"/>
      <c r="J4" s="6"/>
      <c r="K4" s="6"/>
      <c r="L4" s="7"/>
      <c r="M4" s="10"/>
    </row>
    <row r="5" spans="1:13" ht="11.25" customHeight="1" x14ac:dyDescent="0.2">
      <c r="A5" s="7"/>
      <c r="B5" s="347" t="s">
        <v>99</v>
      </c>
      <c r="C5" s="627"/>
      <c r="D5" s="627"/>
      <c r="E5" s="627"/>
      <c r="F5" s="627"/>
      <c r="G5" s="627"/>
      <c r="H5" s="627"/>
      <c r="I5" s="627"/>
      <c r="J5" s="344" t="s">
        <v>34</v>
      </c>
      <c r="K5" s="480" t="s">
        <v>32</v>
      </c>
      <c r="L5" s="11" t="s">
        <v>32</v>
      </c>
      <c r="M5" s="10"/>
    </row>
    <row r="6" spans="1:13" ht="16.5" thickBot="1" x14ac:dyDescent="0.3">
      <c r="A6" s="12" t="s">
        <v>21</v>
      </c>
      <c r="B6" s="13" t="s">
        <v>100</v>
      </c>
      <c r="C6" s="342" t="s">
        <v>0</v>
      </c>
      <c r="D6" s="342" t="s">
        <v>1</v>
      </c>
      <c r="E6" s="342" t="s">
        <v>2</v>
      </c>
      <c r="F6" s="342" t="s">
        <v>664</v>
      </c>
      <c r="G6" s="342" t="s">
        <v>3</v>
      </c>
      <c r="H6" s="342" t="s">
        <v>665</v>
      </c>
      <c r="I6" s="343" t="s">
        <v>666</v>
      </c>
      <c r="J6" s="345" t="s">
        <v>35</v>
      </c>
      <c r="K6" s="481" t="s">
        <v>33</v>
      </c>
      <c r="L6" s="14" t="s">
        <v>367</v>
      </c>
      <c r="M6" s="10"/>
    </row>
    <row r="7" spans="1:13" ht="12" customHeight="1" x14ac:dyDescent="0.2">
      <c r="A7" s="341" t="s">
        <v>19</v>
      </c>
      <c r="B7" s="340">
        <v>200</v>
      </c>
      <c r="C7" s="331">
        <v>9</v>
      </c>
      <c r="D7" s="331">
        <v>9</v>
      </c>
      <c r="E7" s="331">
        <v>9</v>
      </c>
      <c r="F7" s="331">
        <v>9</v>
      </c>
      <c r="G7" s="331">
        <v>8</v>
      </c>
      <c r="H7" s="331">
        <v>9</v>
      </c>
      <c r="I7" s="331">
        <v>9</v>
      </c>
      <c r="J7" s="338">
        <f t="shared" ref="J7:J26" si="0">IF(C7&lt;&gt;"",AVERAGE(C7,D7,E7,F7,G7,H7,I7),"")</f>
        <v>8.8571428571428577</v>
      </c>
      <c r="K7" s="339">
        <f t="shared" ref="K7:K26" si="1">IF(C7&lt;&gt;"",J7*B7,"")</f>
        <v>1771.4285714285716</v>
      </c>
      <c r="L7" s="482">
        <f>SUM(C7:I7)*B7</f>
        <v>12400</v>
      </c>
      <c r="M7" s="15"/>
    </row>
    <row r="8" spans="1:13" ht="12" customHeight="1" x14ac:dyDescent="0.2">
      <c r="A8" s="341" t="s">
        <v>20</v>
      </c>
      <c r="B8" s="340">
        <v>400</v>
      </c>
      <c r="C8" s="332">
        <v>1</v>
      </c>
      <c r="D8" s="332">
        <v>1</v>
      </c>
      <c r="E8" s="332">
        <v>1</v>
      </c>
      <c r="F8" s="332">
        <v>1</v>
      </c>
      <c r="G8" s="332">
        <v>1</v>
      </c>
      <c r="H8" s="332">
        <v>1</v>
      </c>
      <c r="I8" s="332">
        <v>1</v>
      </c>
      <c r="J8" s="338">
        <f t="shared" si="0"/>
        <v>1</v>
      </c>
      <c r="K8" s="339">
        <f t="shared" si="1"/>
        <v>400</v>
      </c>
      <c r="L8" s="482">
        <f t="shared" ref="L8:L26" si="2">SUM(C8:I8)*B8</f>
        <v>2800</v>
      </c>
      <c r="M8" s="10"/>
    </row>
    <row r="9" spans="1:13" ht="12" customHeight="1" x14ac:dyDescent="0.2">
      <c r="A9" s="341" t="s">
        <v>149</v>
      </c>
      <c r="B9" s="340">
        <v>450</v>
      </c>
      <c r="C9" s="332">
        <v>8</v>
      </c>
      <c r="D9" s="332">
        <v>8</v>
      </c>
      <c r="E9" s="332">
        <v>8</v>
      </c>
      <c r="F9" s="332">
        <v>8</v>
      </c>
      <c r="G9" s="332">
        <v>8</v>
      </c>
      <c r="H9" s="332">
        <v>1</v>
      </c>
      <c r="I9" s="332">
        <v>1</v>
      </c>
      <c r="J9" s="338">
        <f t="shared" si="0"/>
        <v>6</v>
      </c>
      <c r="K9" s="339">
        <f t="shared" si="1"/>
        <v>2700</v>
      </c>
      <c r="L9" s="482">
        <f t="shared" si="2"/>
        <v>18900</v>
      </c>
      <c r="M9" s="10"/>
    </row>
    <row r="10" spans="1:13" ht="12" customHeight="1" x14ac:dyDescent="0.2">
      <c r="A10" s="341" t="s">
        <v>26</v>
      </c>
      <c r="B10" s="340">
        <v>300</v>
      </c>
      <c r="C10" s="332">
        <v>2</v>
      </c>
      <c r="D10" s="332">
        <v>2</v>
      </c>
      <c r="E10" s="332">
        <v>2</v>
      </c>
      <c r="F10" s="332">
        <v>2</v>
      </c>
      <c r="G10" s="332">
        <v>2</v>
      </c>
      <c r="H10" s="332">
        <v>2</v>
      </c>
      <c r="I10" s="332">
        <v>2</v>
      </c>
      <c r="J10" s="338">
        <f t="shared" si="0"/>
        <v>2</v>
      </c>
      <c r="K10" s="339">
        <f t="shared" si="1"/>
        <v>600</v>
      </c>
      <c r="L10" s="482">
        <f t="shared" si="2"/>
        <v>4200</v>
      </c>
      <c r="M10" s="10"/>
    </row>
    <row r="11" spans="1:13" ht="12" customHeight="1" x14ac:dyDescent="0.2">
      <c r="A11" s="341" t="s">
        <v>27</v>
      </c>
      <c r="B11" s="340">
        <v>300</v>
      </c>
      <c r="C11" s="332">
        <v>2</v>
      </c>
      <c r="D11" s="332">
        <v>2</v>
      </c>
      <c r="E11" s="332">
        <v>2</v>
      </c>
      <c r="F11" s="332">
        <v>2</v>
      </c>
      <c r="G11" s="332">
        <v>2</v>
      </c>
      <c r="H11" s="332">
        <v>2</v>
      </c>
      <c r="I11" s="332">
        <v>2</v>
      </c>
      <c r="J11" s="338">
        <f t="shared" si="0"/>
        <v>2</v>
      </c>
      <c r="K11" s="339">
        <f t="shared" si="1"/>
        <v>600</v>
      </c>
      <c r="L11" s="482">
        <f t="shared" si="2"/>
        <v>4200</v>
      </c>
      <c r="M11" s="10"/>
    </row>
    <row r="12" spans="1:13" ht="12" customHeight="1" x14ac:dyDescent="0.2">
      <c r="A12" s="341" t="s">
        <v>28</v>
      </c>
      <c r="B12" s="340">
        <v>450</v>
      </c>
      <c r="C12" s="332"/>
      <c r="D12" s="332"/>
      <c r="E12" s="332"/>
      <c r="F12" s="332"/>
      <c r="G12" s="332"/>
      <c r="H12" s="332">
        <v>1</v>
      </c>
      <c r="I12" s="334">
        <v>2</v>
      </c>
      <c r="J12" s="338" t="str">
        <f t="shared" si="0"/>
        <v/>
      </c>
      <c r="K12" s="339" t="str">
        <f t="shared" si="1"/>
        <v/>
      </c>
      <c r="L12" s="482">
        <f t="shared" si="2"/>
        <v>1350</v>
      </c>
      <c r="M12" s="10"/>
    </row>
    <row r="13" spans="1:13" ht="12" customHeight="1" x14ac:dyDescent="0.2">
      <c r="A13" s="341" t="s">
        <v>29</v>
      </c>
      <c r="B13" s="340">
        <v>420</v>
      </c>
      <c r="C13" s="332"/>
      <c r="D13" s="332"/>
      <c r="E13" s="332"/>
      <c r="F13" s="332"/>
      <c r="G13" s="332"/>
      <c r="H13" s="332">
        <v>1</v>
      </c>
      <c r="I13" s="332">
        <v>1</v>
      </c>
      <c r="J13" s="338" t="str">
        <f t="shared" si="0"/>
        <v/>
      </c>
      <c r="K13" s="339" t="str">
        <f t="shared" si="1"/>
        <v/>
      </c>
      <c r="L13" s="482">
        <f t="shared" si="2"/>
        <v>840</v>
      </c>
      <c r="M13" s="10"/>
    </row>
    <row r="14" spans="1:13" ht="12" customHeight="1" x14ac:dyDescent="0.2">
      <c r="A14" s="341" t="s">
        <v>30</v>
      </c>
      <c r="B14" s="340">
        <v>800</v>
      </c>
      <c r="C14" s="332"/>
      <c r="D14" s="332"/>
      <c r="E14" s="332"/>
      <c r="F14" s="332"/>
      <c r="G14" s="332"/>
      <c r="H14" s="332"/>
      <c r="I14" s="332"/>
      <c r="J14" s="338" t="str">
        <f t="shared" si="0"/>
        <v/>
      </c>
      <c r="K14" s="339" t="str">
        <f t="shared" si="1"/>
        <v/>
      </c>
      <c r="L14" s="482">
        <f t="shared" si="2"/>
        <v>0</v>
      </c>
      <c r="M14" s="10"/>
    </row>
    <row r="15" spans="1:13" ht="12" customHeight="1" x14ac:dyDescent="0.2">
      <c r="A15" s="341" t="s">
        <v>96</v>
      </c>
      <c r="B15" s="340">
        <v>400</v>
      </c>
      <c r="C15" s="332">
        <v>1</v>
      </c>
      <c r="D15" s="332">
        <v>1</v>
      </c>
      <c r="E15" s="332">
        <v>1</v>
      </c>
      <c r="F15" s="332">
        <v>1</v>
      </c>
      <c r="G15" s="332">
        <v>1</v>
      </c>
      <c r="H15" s="332">
        <v>2</v>
      </c>
      <c r="I15" s="334">
        <v>2</v>
      </c>
      <c r="J15" s="338">
        <f t="shared" si="0"/>
        <v>1.2857142857142858</v>
      </c>
      <c r="K15" s="339">
        <f t="shared" si="1"/>
        <v>514.28571428571433</v>
      </c>
      <c r="L15" s="482">
        <f t="shared" si="2"/>
        <v>3600</v>
      </c>
      <c r="M15" s="10"/>
    </row>
    <row r="16" spans="1:13" ht="12" customHeight="1" x14ac:dyDescent="0.2">
      <c r="A16" s="341" t="s">
        <v>667</v>
      </c>
      <c r="B16" s="340">
        <v>400</v>
      </c>
      <c r="C16" s="332"/>
      <c r="D16" s="333"/>
      <c r="E16" s="333"/>
      <c r="F16" s="333"/>
      <c r="G16" s="333">
        <v>1</v>
      </c>
      <c r="H16" s="333">
        <v>2</v>
      </c>
      <c r="I16" s="334">
        <v>2</v>
      </c>
      <c r="J16" s="338" t="str">
        <f t="shared" si="0"/>
        <v/>
      </c>
      <c r="K16" s="339" t="str">
        <f t="shared" si="1"/>
        <v/>
      </c>
      <c r="L16" s="482">
        <f t="shared" si="2"/>
        <v>2000</v>
      </c>
      <c r="M16" s="10"/>
    </row>
    <row r="17" spans="1:13" ht="12" customHeight="1" x14ac:dyDescent="0.2">
      <c r="A17" s="341" t="s">
        <v>147</v>
      </c>
      <c r="B17" s="340">
        <v>400</v>
      </c>
      <c r="C17" s="332"/>
      <c r="D17" s="332"/>
      <c r="E17" s="332"/>
      <c r="F17" s="332"/>
      <c r="G17" s="332"/>
      <c r="H17" s="332">
        <v>1</v>
      </c>
      <c r="I17" s="332">
        <v>1</v>
      </c>
      <c r="J17" s="338" t="str">
        <f t="shared" si="0"/>
        <v/>
      </c>
      <c r="K17" s="339" t="str">
        <f t="shared" si="1"/>
        <v/>
      </c>
      <c r="L17" s="482">
        <f t="shared" si="2"/>
        <v>800</v>
      </c>
      <c r="M17" s="10"/>
    </row>
    <row r="18" spans="1:13" ht="12" customHeight="1" x14ac:dyDescent="0.2">
      <c r="A18" s="341" t="s">
        <v>31</v>
      </c>
      <c r="B18" s="340">
        <v>1400</v>
      </c>
      <c r="C18" s="332"/>
      <c r="D18" s="332"/>
      <c r="E18" s="332"/>
      <c r="F18" s="332"/>
      <c r="G18" s="332">
        <v>1</v>
      </c>
      <c r="H18" s="332">
        <v>1</v>
      </c>
      <c r="I18" s="332">
        <v>1</v>
      </c>
      <c r="J18" s="338" t="str">
        <f t="shared" si="0"/>
        <v/>
      </c>
      <c r="K18" s="339" t="str">
        <f t="shared" si="1"/>
        <v/>
      </c>
      <c r="L18" s="482">
        <f t="shared" si="2"/>
        <v>4200</v>
      </c>
      <c r="M18" s="10"/>
    </row>
    <row r="19" spans="1:13" ht="12" customHeight="1" x14ac:dyDescent="0.2">
      <c r="A19" s="341" t="s">
        <v>672</v>
      </c>
      <c r="B19" s="340">
        <v>2500</v>
      </c>
      <c r="C19" s="332"/>
      <c r="D19" s="333"/>
      <c r="E19" s="333"/>
      <c r="F19" s="333"/>
      <c r="G19" s="333"/>
      <c r="H19" s="333"/>
      <c r="I19" s="334"/>
      <c r="J19" s="338" t="str">
        <f t="shared" si="0"/>
        <v/>
      </c>
      <c r="K19" s="339" t="str">
        <f t="shared" si="1"/>
        <v/>
      </c>
      <c r="L19" s="482">
        <f t="shared" si="2"/>
        <v>0</v>
      </c>
      <c r="M19" s="10"/>
    </row>
    <row r="20" spans="1:13" ht="12" customHeight="1" x14ac:dyDescent="0.2">
      <c r="A20" s="341" t="s">
        <v>668</v>
      </c>
      <c r="B20" s="340">
        <v>3600</v>
      </c>
      <c r="C20" s="332"/>
      <c r="D20" s="333"/>
      <c r="E20" s="333"/>
      <c r="F20" s="333"/>
      <c r="G20" s="333"/>
      <c r="H20" s="333"/>
      <c r="I20" s="334"/>
      <c r="J20" s="338" t="str">
        <f t="shared" si="0"/>
        <v/>
      </c>
      <c r="K20" s="339" t="str">
        <f t="shared" si="1"/>
        <v/>
      </c>
      <c r="L20" s="482">
        <f t="shared" si="2"/>
        <v>0</v>
      </c>
      <c r="M20" s="10"/>
    </row>
    <row r="21" spans="1:13" ht="12" customHeight="1" x14ac:dyDescent="0.2">
      <c r="A21" s="341" t="s">
        <v>669</v>
      </c>
      <c r="B21" s="340">
        <v>2500</v>
      </c>
      <c r="C21" s="332">
        <v>1</v>
      </c>
      <c r="D21" s="333"/>
      <c r="E21" s="333">
        <v>1</v>
      </c>
      <c r="F21" s="333"/>
      <c r="G21" s="333"/>
      <c r="H21" s="333"/>
      <c r="I21" s="333"/>
      <c r="J21" s="338">
        <f t="shared" si="0"/>
        <v>1</v>
      </c>
      <c r="K21" s="339">
        <f t="shared" si="1"/>
        <v>2500</v>
      </c>
      <c r="L21" s="482">
        <f t="shared" si="2"/>
        <v>5000</v>
      </c>
      <c r="M21" s="10"/>
    </row>
    <row r="22" spans="1:13" ht="12" customHeight="1" x14ac:dyDescent="0.2">
      <c r="A22" s="341" t="s">
        <v>670</v>
      </c>
      <c r="B22" s="340">
        <v>3600</v>
      </c>
      <c r="C22" s="332"/>
      <c r="D22" s="332"/>
      <c r="E22" s="332"/>
      <c r="F22" s="332"/>
      <c r="G22" s="333"/>
      <c r="H22" s="333"/>
      <c r="I22" s="334"/>
      <c r="J22" s="338" t="str">
        <f t="shared" si="0"/>
        <v/>
      </c>
      <c r="K22" s="339" t="str">
        <f t="shared" si="1"/>
        <v/>
      </c>
      <c r="L22" s="482">
        <f t="shared" si="2"/>
        <v>0</v>
      </c>
      <c r="M22" s="10"/>
    </row>
    <row r="23" spans="1:13" ht="12" customHeight="1" x14ac:dyDescent="0.2">
      <c r="A23" s="341" t="s">
        <v>97</v>
      </c>
      <c r="B23" s="340">
        <v>2200</v>
      </c>
      <c r="C23" s="332"/>
      <c r="D23" s="333"/>
      <c r="E23" s="333"/>
      <c r="F23" s="333"/>
      <c r="G23" s="333"/>
      <c r="H23" s="333"/>
      <c r="I23" s="334"/>
      <c r="J23" s="338" t="str">
        <f t="shared" si="0"/>
        <v/>
      </c>
      <c r="K23" s="339" t="str">
        <f t="shared" si="1"/>
        <v/>
      </c>
      <c r="L23" s="482">
        <f t="shared" si="2"/>
        <v>0</v>
      </c>
      <c r="M23" s="10"/>
    </row>
    <row r="24" spans="1:13" ht="12" customHeight="1" x14ac:dyDescent="0.2">
      <c r="A24" s="341" t="s">
        <v>4</v>
      </c>
      <c r="B24" s="340">
        <v>2600</v>
      </c>
      <c r="C24" s="332"/>
      <c r="D24" s="333"/>
      <c r="E24" s="333"/>
      <c r="F24" s="333"/>
      <c r="G24" s="333"/>
      <c r="H24" s="333"/>
      <c r="I24" s="334"/>
      <c r="J24" s="338" t="str">
        <f t="shared" si="0"/>
        <v/>
      </c>
      <c r="K24" s="339" t="str">
        <f t="shared" si="1"/>
        <v/>
      </c>
      <c r="L24" s="482">
        <f t="shared" si="2"/>
        <v>0</v>
      </c>
      <c r="M24" s="10"/>
    </row>
    <row r="25" spans="1:13" ht="12" customHeight="1" x14ac:dyDescent="0.2">
      <c r="A25" s="341" t="s">
        <v>146</v>
      </c>
      <c r="B25" s="340">
        <v>3100</v>
      </c>
      <c r="C25" s="332"/>
      <c r="D25" s="333">
        <v>1</v>
      </c>
      <c r="E25" s="333"/>
      <c r="F25" s="333">
        <v>1</v>
      </c>
      <c r="G25" s="333"/>
      <c r="H25" s="333">
        <v>1</v>
      </c>
      <c r="I25" s="334"/>
      <c r="J25" s="338" t="str">
        <f t="shared" si="0"/>
        <v/>
      </c>
      <c r="K25" s="339" t="str">
        <f t="shared" si="1"/>
        <v/>
      </c>
      <c r="L25" s="482">
        <f t="shared" si="2"/>
        <v>9300</v>
      </c>
      <c r="M25" s="10"/>
    </row>
    <row r="26" spans="1:13" ht="12" customHeight="1" thickBot="1" x14ac:dyDescent="0.25">
      <c r="A26" s="341" t="s">
        <v>671</v>
      </c>
      <c r="B26" s="340">
        <v>3100</v>
      </c>
      <c r="C26" s="335"/>
      <c r="D26" s="336"/>
      <c r="E26" s="336"/>
      <c r="F26" s="336"/>
      <c r="G26" s="336"/>
      <c r="H26" s="336"/>
      <c r="I26" s="337"/>
      <c r="J26" s="338" t="str">
        <f t="shared" si="0"/>
        <v/>
      </c>
      <c r="K26" s="339" t="str">
        <f t="shared" si="1"/>
        <v/>
      </c>
      <c r="L26" s="482">
        <f t="shared" si="2"/>
        <v>0</v>
      </c>
      <c r="M26" s="10"/>
    </row>
    <row r="27" spans="1:13" ht="14.25" customHeight="1" x14ac:dyDescent="0.2">
      <c r="A27" s="7"/>
      <c r="B27" s="324" t="s">
        <v>148</v>
      </c>
      <c r="C27" s="6">
        <f t="shared" ref="C27:I27" si="3">SUM(C7:C26)</f>
        <v>24</v>
      </c>
      <c r="D27" s="6">
        <f t="shared" si="3"/>
        <v>24</v>
      </c>
      <c r="E27" s="6">
        <f t="shared" si="3"/>
        <v>24</v>
      </c>
      <c r="F27" s="6">
        <f t="shared" si="3"/>
        <v>24</v>
      </c>
      <c r="G27" s="6">
        <f t="shared" si="3"/>
        <v>24</v>
      </c>
      <c r="H27" s="6">
        <f t="shared" si="3"/>
        <v>24</v>
      </c>
      <c r="I27" s="6">
        <f t="shared" si="3"/>
        <v>24</v>
      </c>
      <c r="J27" s="6"/>
      <c r="K27" s="6"/>
      <c r="L27" s="7"/>
      <c r="M27" s="10"/>
    </row>
    <row r="28" spans="1:13" ht="3.75" customHeight="1" thickBot="1" x14ac:dyDescent="0.25">
      <c r="A28" s="8"/>
      <c r="B28" s="16"/>
      <c r="C28" s="9"/>
      <c r="D28" s="9"/>
      <c r="E28" s="9"/>
      <c r="F28" s="9"/>
      <c r="G28" s="9"/>
      <c r="H28" s="9"/>
      <c r="I28" s="9"/>
      <c r="J28" s="9"/>
      <c r="K28" s="9"/>
      <c r="L28" s="8"/>
      <c r="M28" s="10"/>
    </row>
    <row r="29" spans="1:13" ht="19.5" customHeight="1" thickBot="1" x14ac:dyDescent="0.25">
      <c r="A29" s="17" t="s">
        <v>85</v>
      </c>
      <c r="B29" s="348" t="s">
        <v>18</v>
      </c>
      <c r="C29" s="18" t="s">
        <v>91</v>
      </c>
      <c r="D29" s="19" t="s">
        <v>92</v>
      </c>
      <c r="E29" s="349" t="s">
        <v>150</v>
      </c>
      <c r="F29" s="20" t="s">
        <v>93</v>
      </c>
      <c r="G29" s="349" t="s">
        <v>151</v>
      </c>
      <c r="H29" s="19" t="s">
        <v>94</v>
      </c>
      <c r="I29" s="349" t="s">
        <v>150</v>
      </c>
      <c r="J29" s="21" t="s">
        <v>95</v>
      </c>
      <c r="K29" s="22">
        <f>SUM(K7:K26)*G36</f>
        <v>2180.5714285714284</v>
      </c>
      <c r="L29" s="23" t="s">
        <v>5</v>
      </c>
      <c r="M29" s="24"/>
    </row>
    <row r="30" spans="1:13" ht="5.25" customHeight="1" thickBot="1" x14ac:dyDescent="0.25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8"/>
      <c r="M30" s="10"/>
    </row>
    <row r="31" spans="1:13" ht="18.75" thickBot="1" x14ac:dyDescent="0.3">
      <c r="A31" s="25"/>
      <c r="B31" s="25"/>
      <c r="C31" s="26"/>
      <c r="D31" s="634" t="s">
        <v>368</v>
      </c>
      <c r="E31" s="634"/>
      <c r="F31" s="634"/>
      <c r="G31" s="634"/>
      <c r="H31" s="634"/>
      <c r="I31" s="634"/>
      <c r="J31" s="635"/>
      <c r="K31" s="483">
        <f>SUM(K7:K29)</f>
        <v>11266.285714285714</v>
      </c>
      <c r="L31" s="484">
        <f>SUM(L7:L26)</f>
        <v>69590</v>
      </c>
      <c r="M31" s="27"/>
    </row>
    <row r="32" spans="1:13" ht="5.25" customHeight="1" thickBot="1" x14ac:dyDescent="0.3">
      <c r="A32" s="28"/>
      <c r="B32" s="28"/>
      <c r="C32" s="29"/>
      <c r="D32" s="29"/>
      <c r="E32" s="29"/>
      <c r="F32" s="29"/>
      <c r="G32" s="29"/>
      <c r="H32" s="29"/>
      <c r="I32" s="29"/>
      <c r="J32" s="30"/>
      <c r="K32" s="31"/>
      <c r="L32" s="28"/>
      <c r="M32" s="27"/>
    </row>
    <row r="33" spans="1:15" ht="15.6" customHeight="1" x14ac:dyDescent="0.25">
      <c r="A33" s="633" t="s">
        <v>88</v>
      </c>
      <c r="B33" s="633"/>
      <c r="C33" s="633"/>
      <c r="D33" s="633"/>
      <c r="E33" s="631" t="s">
        <v>84</v>
      </c>
      <c r="F33" s="631"/>
      <c r="G33" s="631"/>
      <c r="H33" s="632"/>
      <c r="I33" s="628" t="s">
        <v>81</v>
      </c>
      <c r="J33" s="628"/>
      <c r="K33" s="33">
        <f>4*K31/(7*16.7)</f>
        <v>385.50164976170112</v>
      </c>
      <c r="L33" s="34" t="s">
        <v>74</v>
      </c>
      <c r="M33" s="10"/>
    </row>
    <row r="34" spans="1:15" ht="15.6" customHeight="1" x14ac:dyDescent="0.25">
      <c r="A34" s="101" t="s">
        <v>86</v>
      </c>
      <c r="B34" s="32" t="s">
        <v>89</v>
      </c>
      <c r="C34" s="3"/>
      <c r="D34" s="32" t="s">
        <v>90</v>
      </c>
      <c r="E34" s="26"/>
      <c r="F34" s="26"/>
      <c r="G34" s="26"/>
      <c r="H34" s="6"/>
      <c r="I34" s="629" t="s">
        <v>82</v>
      </c>
      <c r="J34" s="629"/>
      <c r="K34" s="35">
        <f>2*K31/(7*37.6)</f>
        <v>85.610073816760746</v>
      </c>
      <c r="L34" s="36" t="s">
        <v>74</v>
      </c>
      <c r="M34" s="10"/>
    </row>
    <row r="35" spans="1:15" ht="15.6" customHeight="1" x14ac:dyDescent="0.25">
      <c r="A35" s="101" t="s">
        <v>87</v>
      </c>
      <c r="B35" s="37"/>
      <c r="C35" s="38" t="s">
        <v>6</v>
      </c>
      <c r="D35">
        <f>B35/60</f>
        <v>0</v>
      </c>
      <c r="E35" s="6"/>
      <c r="F35" s="26"/>
      <c r="G35" s="26"/>
      <c r="H35" s="6"/>
      <c r="I35" s="630" t="s">
        <v>83</v>
      </c>
      <c r="J35" s="630"/>
      <c r="K35" s="39">
        <f>1*K31/(7*16.7)</f>
        <v>96.375412440425279</v>
      </c>
      <c r="L35" s="40" t="s">
        <v>74</v>
      </c>
      <c r="M35" s="10"/>
    </row>
    <row r="36" spans="1:15" ht="3" customHeight="1" x14ac:dyDescent="0.2">
      <c r="A36" s="7" t="s">
        <v>7</v>
      </c>
      <c r="B36" s="41">
        <f>(IF(B29="F",0,1))</f>
        <v>1</v>
      </c>
      <c r="C36" s="41">
        <f>IF(E29="si",0,1)</f>
        <v>1</v>
      </c>
      <c r="D36" s="41">
        <f>IF(G29="si",2,0)</f>
        <v>2</v>
      </c>
      <c r="E36" s="41">
        <f>IF(I29="si",0.3,0)</f>
        <v>0</v>
      </c>
      <c r="F36" s="41">
        <f>SUM(B36:E36)</f>
        <v>4</v>
      </c>
      <c r="G36" s="6">
        <f>IF(F36=0,0,F36*F36*0.015)</f>
        <v>0.24</v>
      </c>
      <c r="H36" s="6"/>
      <c r="I36" s="6"/>
      <c r="J36" s="6"/>
      <c r="K36" s="6"/>
      <c r="L36" s="7"/>
      <c r="M36" s="10"/>
    </row>
    <row r="37" spans="1:15" ht="6.75" customHeight="1" x14ac:dyDescent="0.2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8"/>
      <c r="M37" s="10"/>
    </row>
    <row r="38" spans="1:15" ht="20.25" x14ac:dyDescent="0.3">
      <c r="A38" s="625" t="s">
        <v>152</v>
      </c>
      <c r="B38" s="625"/>
      <c r="C38" s="625"/>
      <c r="D38" s="625"/>
      <c r="E38" s="625"/>
      <c r="F38" s="625"/>
      <c r="G38" s="625"/>
      <c r="H38" s="625"/>
      <c r="I38" s="625"/>
      <c r="J38" s="625"/>
      <c r="K38" s="625"/>
      <c r="L38" s="625"/>
      <c r="M38" s="625"/>
      <c r="N38" s="327"/>
      <c r="O38" s="327"/>
    </row>
    <row r="39" spans="1:15" x14ac:dyDescent="0.2">
      <c r="A39" s="325"/>
      <c r="B39" s="325"/>
      <c r="C39" s="328"/>
      <c r="D39" s="328"/>
      <c r="E39" s="328"/>
      <c r="F39" s="328"/>
      <c r="G39" s="328"/>
      <c r="H39" s="328"/>
      <c r="I39" s="328"/>
      <c r="J39" s="328"/>
      <c r="K39" s="328"/>
      <c r="L39" s="325"/>
      <c r="M39" s="326"/>
      <c r="N39" s="327"/>
      <c r="O39" s="327"/>
    </row>
    <row r="40" spans="1:15" x14ac:dyDescent="0.2">
      <c r="A40" s="325"/>
      <c r="B40" s="325"/>
      <c r="C40" s="328"/>
      <c r="D40" s="328"/>
      <c r="E40" s="328"/>
      <c r="F40" s="328"/>
      <c r="G40" s="328"/>
      <c r="H40" s="328"/>
      <c r="I40" s="328"/>
      <c r="J40" s="328"/>
      <c r="K40" s="328"/>
      <c r="L40" s="325"/>
      <c r="M40" s="326"/>
      <c r="N40" s="327"/>
      <c r="O40" s="327"/>
    </row>
    <row r="41" spans="1:15" x14ac:dyDescent="0.2">
      <c r="A41" s="325"/>
      <c r="B41" s="325"/>
      <c r="C41" s="328"/>
      <c r="D41" s="328"/>
      <c r="E41" s="328"/>
      <c r="F41" s="328"/>
      <c r="G41" s="328"/>
      <c r="H41" s="328"/>
      <c r="I41" s="328"/>
      <c r="J41" s="328"/>
      <c r="K41" s="328"/>
      <c r="L41" s="325"/>
      <c r="M41" s="326"/>
      <c r="N41" s="327"/>
      <c r="O41" s="327"/>
    </row>
    <row r="42" spans="1:15" x14ac:dyDescent="0.2">
      <c r="A42" s="325"/>
      <c r="B42" s="325"/>
      <c r="C42" s="328"/>
      <c r="D42" s="328"/>
      <c r="E42" s="328"/>
      <c r="F42" s="328"/>
      <c r="G42" s="328"/>
      <c r="H42" s="328"/>
      <c r="I42" s="328"/>
      <c r="J42" s="328"/>
      <c r="K42" s="328"/>
      <c r="L42" s="325"/>
      <c r="M42" s="326"/>
      <c r="N42" s="327"/>
      <c r="O42" s="327"/>
    </row>
    <row r="43" spans="1:15" x14ac:dyDescent="0.2">
      <c r="A43" s="329"/>
      <c r="B43" s="329"/>
      <c r="C43" s="330"/>
      <c r="D43" s="330"/>
      <c r="E43" s="330"/>
      <c r="F43" s="330"/>
      <c r="G43" s="330"/>
      <c r="H43" s="330"/>
      <c r="I43" s="330"/>
      <c r="J43" s="330"/>
      <c r="K43" s="330"/>
      <c r="L43" s="329"/>
      <c r="M43" s="326"/>
      <c r="N43" s="327"/>
      <c r="O43" s="327"/>
    </row>
    <row r="44" spans="1:15" x14ac:dyDescent="0.2">
      <c r="A44" s="329"/>
      <c r="B44" s="329"/>
      <c r="C44" s="330"/>
      <c r="D44" s="330"/>
      <c r="E44" s="330"/>
      <c r="F44" s="330"/>
      <c r="G44" s="330"/>
      <c r="H44" s="330"/>
      <c r="I44" s="330"/>
      <c r="J44" s="330"/>
      <c r="K44" s="330"/>
      <c r="L44" s="329"/>
      <c r="M44" s="326"/>
      <c r="N44" s="327"/>
      <c r="O44" s="327"/>
    </row>
    <row r="45" spans="1:15" x14ac:dyDescent="0.2">
      <c r="A45" s="329"/>
      <c r="B45" s="329"/>
      <c r="C45" s="330"/>
      <c r="D45" s="330"/>
      <c r="E45" s="330"/>
      <c r="F45" s="330"/>
      <c r="G45" s="330"/>
      <c r="H45" s="330"/>
      <c r="I45" s="330"/>
      <c r="J45" s="330"/>
      <c r="K45" s="330"/>
      <c r="L45" s="329"/>
      <c r="M45" s="326"/>
      <c r="N45" s="327"/>
      <c r="O45" s="327"/>
    </row>
    <row r="46" spans="1:15" x14ac:dyDescent="0.2">
      <c r="A46" s="329"/>
      <c r="B46" s="329"/>
      <c r="C46" s="330"/>
      <c r="D46" s="330"/>
      <c r="E46" s="330"/>
      <c r="F46" s="330"/>
      <c r="G46" s="330"/>
      <c r="H46" s="330"/>
      <c r="I46" s="330"/>
      <c r="J46" s="330"/>
      <c r="K46" s="330"/>
      <c r="L46" s="329"/>
      <c r="M46" s="326"/>
      <c r="N46" s="327"/>
      <c r="O46" s="327"/>
    </row>
    <row r="47" spans="1:15" x14ac:dyDescent="0.2">
      <c r="A47" s="329"/>
      <c r="B47" s="329"/>
      <c r="C47" s="330"/>
      <c r="D47" s="330"/>
      <c r="E47" s="330"/>
      <c r="F47" s="330"/>
      <c r="G47" s="330"/>
      <c r="H47" s="330"/>
      <c r="I47" s="330"/>
      <c r="J47" s="330"/>
      <c r="K47" s="330"/>
      <c r="L47" s="329"/>
      <c r="M47" s="326"/>
      <c r="N47" s="327"/>
      <c r="O47" s="327"/>
    </row>
    <row r="48" spans="1:15" x14ac:dyDescent="0.2">
      <c r="A48" s="329"/>
      <c r="B48" s="329"/>
      <c r="C48" s="330"/>
      <c r="D48" s="330"/>
      <c r="E48" s="330"/>
      <c r="F48" s="330"/>
      <c r="G48" s="330"/>
      <c r="H48" s="330"/>
      <c r="I48" s="330"/>
      <c r="J48" s="330"/>
      <c r="K48" s="330"/>
      <c r="L48" s="329"/>
      <c r="M48" s="326"/>
      <c r="N48" s="327"/>
      <c r="O48" s="327"/>
    </row>
    <row r="49" spans="1:15" x14ac:dyDescent="0.2">
      <c r="A49" s="329"/>
      <c r="B49" s="329"/>
      <c r="C49" s="330"/>
      <c r="D49" s="330"/>
      <c r="E49" s="330"/>
      <c r="F49" s="330"/>
      <c r="G49" s="330"/>
      <c r="H49" s="330"/>
      <c r="I49" s="330"/>
      <c r="J49" s="330"/>
      <c r="K49" s="330"/>
      <c r="L49" s="329"/>
      <c r="M49" s="326"/>
      <c r="N49" s="327"/>
      <c r="O49" s="327"/>
    </row>
    <row r="50" spans="1:15" x14ac:dyDescent="0.2">
      <c r="A50" s="329"/>
      <c r="B50" s="329"/>
      <c r="C50" s="330"/>
      <c r="D50" s="330"/>
      <c r="E50" s="330"/>
      <c r="F50" s="330"/>
      <c r="G50" s="330"/>
      <c r="H50" s="330"/>
      <c r="I50" s="330"/>
      <c r="J50" s="330"/>
      <c r="K50" s="330"/>
      <c r="L50" s="329"/>
      <c r="M50" s="326"/>
      <c r="N50" s="327"/>
      <c r="O50" s="327"/>
    </row>
    <row r="51" spans="1:15" x14ac:dyDescent="0.2">
      <c r="A51" s="329"/>
      <c r="B51" s="329"/>
      <c r="C51" s="330"/>
      <c r="D51" s="330"/>
      <c r="E51" s="330"/>
      <c r="F51" s="330"/>
      <c r="G51" s="330"/>
      <c r="H51" s="330"/>
      <c r="I51" s="330"/>
      <c r="J51" s="330"/>
      <c r="K51" s="330"/>
      <c r="L51" s="329"/>
      <c r="M51" s="326"/>
      <c r="N51" s="327"/>
      <c r="O51" s="327"/>
    </row>
    <row r="52" spans="1:15" x14ac:dyDescent="0.2">
      <c r="A52" s="329"/>
      <c r="B52" s="329"/>
      <c r="C52" s="330"/>
      <c r="D52" s="330"/>
      <c r="E52" s="330"/>
      <c r="F52" s="330"/>
      <c r="G52" s="330"/>
      <c r="H52" s="330"/>
      <c r="I52" s="330"/>
      <c r="J52" s="330"/>
      <c r="K52" s="330"/>
      <c r="L52" s="329"/>
      <c r="M52" s="326"/>
      <c r="N52" s="327"/>
      <c r="O52" s="327"/>
    </row>
    <row r="53" spans="1:15" x14ac:dyDescent="0.2">
      <c r="A53" s="329"/>
      <c r="B53" s="329"/>
      <c r="C53" s="330"/>
      <c r="D53" s="330"/>
      <c r="E53" s="330"/>
      <c r="F53" s="330"/>
      <c r="G53" s="330"/>
      <c r="H53" s="330"/>
      <c r="I53" s="330"/>
      <c r="J53" s="330"/>
      <c r="K53" s="330"/>
      <c r="L53" s="329"/>
      <c r="M53" s="326"/>
      <c r="N53" s="327"/>
      <c r="O53" s="327"/>
    </row>
    <row r="54" spans="1:15" x14ac:dyDescent="0.2">
      <c r="A54" s="329"/>
      <c r="B54" s="329"/>
      <c r="C54" s="330"/>
      <c r="D54" s="330"/>
      <c r="E54" s="330"/>
      <c r="F54" s="330"/>
      <c r="G54" s="330"/>
      <c r="H54" s="330"/>
      <c r="I54" s="330"/>
      <c r="J54" s="330"/>
      <c r="K54" s="330"/>
      <c r="L54" s="329"/>
      <c r="M54" s="326"/>
      <c r="N54" s="327"/>
      <c r="O54" s="327"/>
    </row>
    <row r="55" spans="1:15" x14ac:dyDescent="0.2">
      <c r="A55" s="329"/>
      <c r="B55" s="329"/>
      <c r="C55" s="330"/>
      <c r="D55" s="330"/>
      <c r="E55" s="330"/>
      <c r="F55" s="330"/>
      <c r="G55" s="330"/>
      <c r="H55" s="330"/>
      <c r="I55" s="330"/>
      <c r="J55" s="330"/>
      <c r="K55" s="330"/>
      <c r="L55" s="329"/>
      <c r="M55" s="326"/>
      <c r="N55" s="327"/>
      <c r="O55" s="327"/>
    </row>
    <row r="56" spans="1:15" x14ac:dyDescent="0.2">
      <c r="A56" s="329"/>
      <c r="B56" s="329"/>
      <c r="C56" s="330"/>
      <c r="D56" s="330"/>
      <c r="E56" s="330"/>
      <c r="F56" s="330"/>
      <c r="G56" s="330"/>
      <c r="H56" s="330"/>
      <c r="I56" s="330"/>
      <c r="J56" s="330"/>
      <c r="K56" s="330"/>
      <c r="L56" s="329"/>
      <c r="M56" s="326"/>
      <c r="N56" s="327"/>
      <c r="O56" s="327"/>
    </row>
    <row r="57" spans="1:15" x14ac:dyDescent="0.2">
      <c r="A57" s="329"/>
      <c r="B57" s="329"/>
      <c r="C57" s="330"/>
      <c r="D57" s="330"/>
      <c r="E57" s="330"/>
      <c r="F57" s="330"/>
      <c r="G57" s="330"/>
      <c r="H57" s="330"/>
      <c r="I57" s="330"/>
      <c r="J57" s="330"/>
      <c r="K57" s="330"/>
      <c r="L57" s="329"/>
      <c r="M57" s="326"/>
      <c r="N57" s="327"/>
      <c r="O57" s="327"/>
    </row>
    <row r="58" spans="1:15" x14ac:dyDescent="0.2">
      <c r="A58" s="329"/>
      <c r="B58" s="329"/>
      <c r="C58" s="330"/>
      <c r="D58" s="330"/>
      <c r="E58" s="330"/>
      <c r="F58" s="330"/>
      <c r="G58" s="330"/>
      <c r="H58" s="330"/>
      <c r="I58" s="330"/>
      <c r="J58" s="330"/>
      <c r="K58" s="330"/>
      <c r="L58" s="329"/>
      <c r="M58" s="326"/>
      <c r="N58" s="327"/>
      <c r="O58" s="327"/>
    </row>
    <row r="59" spans="1:15" x14ac:dyDescent="0.2">
      <c r="A59" s="329"/>
      <c r="B59" s="329"/>
      <c r="C59" s="330"/>
      <c r="D59" s="330"/>
      <c r="E59" s="330"/>
      <c r="F59" s="330"/>
      <c r="G59" s="330"/>
      <c r="H59" s="330"/>
      <c r="I59" s="330"/>
      <c r="J59" s="330"/>
      <c r="K59" s="330"/>
      <c r="L59" s="329"/>
      <c r="M59" s="326"/>
      <c r="N59" s="327"/>
      <c r="O59" s="327"/>
    </row>
    <row r="60" spans="1:15" x14ac:dyDescent="0.2">
      <c r="A60" s="329"/>
      <c r="B60" s="329"/>
      <c r="C60" s="330"/>
      <c r="D60" s="330"/>
      <c r="E60" s="330"/>
      <c r="F60" s="330"/>
      <c r="G60" s="330"/>
      <c r="H60" s="330"/>
      <c r="I60" s="330"/>
      <c r="J60" s="330"/>
      <c r="K60" s="330"/>
      <c r="L60" s="329"/>
      <c r="M60" s="326"/>
      <c r="N60" s="327"/>
      <c r="O60" s="327"/>
    </row>
    <row r="61" spans="1:15" x14ac:dyDescent="0.2">
      <c r="A61" s="329"/>
      <c r="B61" s="329"/>
      <c r="C61" s="330"/>
      <c r="D61" s="330"/>
      <c r="E61" s="330"/>
      <c r="F61" s="330"/>
      <c r="G61" s="330"/>
      <c r="H61" s="330"/>
      <c r="I61" s="330"/>
      <c r="J61" s="330"/>
      <c r="K61" s="330"/>
      <c r="L61" s="329"/>
      <c r="M61" s="326"/>
      <c r="N61" s="327"/>
      <c r="O61" s="327"/>
    </row>
    <row r="62" spans="1:15" x14ac:dyDescent="0.2">
      <c r="A62" s="329"/>
      <c r="B62" s="329"/>
      <c r="C62" s="330"/>
      <c r="D62" s="330"/>
      <c r="E62" s="330"/>
      <c r="F62" s="330"/>
      <c r="G62" s="330"/>
      <c r="H62" s="330"/>
      <c r="I62" s="330"/>
      <c r="J62" s="330"/>
      <c r="K62" s="330"/>
      <c r="L62" s="329"/>
      <c r="M62" s="326"/>
      <c r="N62" s="327"/>
      <c r="O62" s="327"/>
    </row>
    <row r="63" spans="1:15" x14ac:dyDescent="0.2">
      <c r="A63" s="329"/>
      <c r="B63" s="329"/>
      <c r="C63" s="330"/>
      <c r="D63" s="330"/>
      <c r="E63" s="330"/>
      <c r="F63" s="330"/>
      <c r="G63" s="330"/>
      <c r="H63" s="330"/>
      <c r="I63" s="330"/>
      <c r="J63" s="330"/>
      <c r="K63" s="330"/>
      <c r="L63" s="329"/>
      <c r="M63" s="326"/>
      <c r="N63" s="327"/>
      <c r="O63" s="327"/>
    </row>
    <row r="64" spans="1:15" x14ac:dyDescent="0.2">
      <c r="A64" s="329"/>
      <c r="B64" s="329"/>
      <c r="C64" s="330"/>
      <c r="D64" s="330"/>
      <c r="E64" s="330"/>
      <c r="F64" s="330"/>
      <c r="G64" s="330"/>
      <c r="H64" s="330"/>
      <c r="I64" s="330"/>
      <c r="J64" s="330"/>
      <c r="K64" s="330"/>
      <c r="L64" s="329"/>
      <c r="M64" s="326"/>
      <c r="N64" s="327"/>
      <c r="O64" s="327"/>
    </row>
    <row r="65" spans="1:15" x14ac:dyDescent="0.2">
      <c r="A65" s="329"/>
      <c r="B65" s="329"/>
      <c r="C65" s="330"/>
      <c r="D65" s="330"/>
      <c r="E65" s="330"/>
      <c r="F65" s="330"/>
      <c r="G65" s="330"/>
      <c r="H65" s="330"/>
      <c r="I65" s="330"/>
      <c r="J65" s="330"/>
      <c r="K65" s="330"/>
      <c r="L65" s="329"/>
      <c r="M65" s="326"/>
      <c r="N65" s="327"/>
      <c r="O65" s="327"/>
    </row>
    <row r="66" spans="1:15" x14ac:dyDescent="0.2">
      <c r="A66" s="329"/>
      <c r="B66" s="329"/>
      <c r="C66" s="330"/>
      <c r="D66" s="330"/>
      <c r="E66" s="330"/>
      <c r="F66" s="330"/>
      <c r="G66" s="330"/>
      <c r="H66" s="330"/>
      <c r="I66" s="330"/>
      <c r="J66" s="330"/>
      <c r="K66" s="330"/>
      <c r="L66" s="329"/>
      <c r="M66" s="326"/>
      <c r="N66" s="327"/>
      <c r="O66" s="327"/>
    </row>
    <row r="67" spans="1:15" x14ac:dyDescent="0.2">
      <c r="A67" s="329"/>
      <c r="B67" s="329"/>
      <c r="C67" s="330"/>
      <c r="D67" s="330"/>
      <c r="E67" s="330"/>
      <c r="F67" s="330"/>
      <c r="G67" s="330"/>
      <c r="H67" s="330"/>
      <c r="I67" s="330"/>
      <c r="J67" s="330"/>
      <c r="K67" s="330"/>
      <c r="L67" s="329"/>
      <c r="M67" s="326"/>
      <c r="N67" s="327"/>
      <c r="O67" s="327"/>
    </row>
    <row r="68" spans="1:15" x14ac:dyDescent="0.2">
      <c r="A68" s="329"/>
      <c r="B68" s="329"/>
      <c r="C68" s="330"/>
      <c r="D68" s="330"/>
      <c r="E68" s="330"/>
      <c r="F68" s="330"/>
      <c r="G68" s="330"/>
      <c r="H68" s="330"/>
      <c r="I68" s="330"/>
      <c r="J68" s="330"/>
      <c r="K68" s="330"/>
      <c r="L68" s="329"/>
      <c r="M68" s="326"/>
      <c r="N68" s="327"/>
      <c r="O68" s="327"/>
    </row>
    <row r="69" spans="1:15" x14ac:dyDescent="0.2">
      <c r="A69" s="329"/>
      <c r="B69" s="329"/>
      <c r="C69" s="330"/>
      <c r="D69" s="330"/>
      <c r="E69" s="330"/>
      <c r="F69" s="330"/>
      <c r="G69" s="330"/>
      <c r="H69" s="330"/>
      <c r="I69" s="330"/>
      <c r="J69" s="330"/>
      <c r="K69" s="330"/>
      <c r="L69" s="329"/>
      <c r="M69" s="326"/>
      <c r="N69" s="327"/>
      <c r="O69" s="327"/>
    </row>
    <row r="70" spans="1:15" x14ac:dyDescent="0.2">
      <c r="A70" s="329"/>
      <c r="B70" s="329"/>
      <c r="C70" s="330"/>
      <c r="D70" s="330"/>
      <c r="E70" s="330"/>
      <c r="F70" s="330"/>
      <c r="G70" s="330"/>
      <c r="H70" s="330"/>
      <c r="I70" s="330"/>
      <c r="J70" s="330"/>
      <c r="K70" s="330"/>
      <c r="L70" s="329"/>
      <c r="M70" s="326"/>
      <c r="N70" s="327"/>
      <c r="O70" s="327"/>
    </row>
    <row r="71" spans="1:15" x14ac:dyDescent="0.2">
      <c r="A71" s="329"/>
      <c r="B71" s="329"/>
      <c r="C71" s="330"/>
      <c r="D71" s="330"/>
      <c r="E71" s="330"/>
      <c r="F71" s="330"/>
      <c r="G71" s="330"/>
      <c r="H71" s="330"/>
      <c r="I71" s="330"/>
      <c r="J71" s="330"/>
      <c r="K71" s="330"/>
      <c r="L71" s="329"/>
      <c r="M71" s="326"/>
      <c r="N71" s="327"/>
      <c r="O71" s="327"/>
    </row>
    <row r="72" spans="1:15" x14ac:dyDescent="0.2">
      <c r="A72" s="329"/>
      <c r="B72" s="329"/>
      <c r="C72" s="330"/>
      <c r="D72" s="330"/>
      <c r="E72" s="330"/>
      <c r="F72" s="330"/>
      <c r="G72" s="330"/>
      <c r="H72" s="330"/>
      <c r="I72" s="330"/>
      <c r="J72" s="330"/>
      <c r="K72" s="330"/>
      <c r="L72" s="329"/>
      <c r="M72" s="326"/>
      <c r="N72" s="327"/>
      <c r="O72" s="327"/>
    </row>
    <row r="73" spans="1:15" x14ac:dyDescent="0.2">
      <c r="A73" s="329"/>
      <c r="B73" s="329"/>
      <c r="C73" s="330"/>
      <c r="D73" s="330"/>
      <c r="E73" s="330"/>
      <c r="F73" s="330"/>
      <c r="G73" s="330"/>
      <c r="H73" s="330"/>
      <c r="I73" s="330"/>
      <c r="J73" s="330"/>
      <c r="K73" s="330"/>
      <c r="L73" s="329"/>
      <c r="M73" s="326"/>
      <c r="N73" s="327"/>
      <c r="O73" s="327"/>
    </row>
    <row r="74" spans="1:15" x14ac:dyDescent="0.2">
      <c r="A74" s="329"/>
      <c r="B74" s="329"/>
      <c r="C74" s="330"/>
      <c r="D74" s="330"/>
      <c r="E74" s="330"/>
      <c r="F74" s="330"/>
      <c r="G74" s="330"/>
      <c r="H74" s="330"/>
      <c r="I74" s="330"/>
      <c r="J74" s="330"/>
      <c r="K74" s="330"/>
      <c r="L74" s="329"/>
      <c r="M74" s="326"/>
      <c r="N74" s="327"/>
      <c r="O74" s="327"/>
    </row>
    <row r="75" spans="1:15" x14ac:dyDescent="0.2">
      <c r="A75" s="329"/>
      <c r="B75" s="329"/>
      <c r="C75" s="330"/>
      <c r="D75" s="330"/>
      <c r="E75" s="330"/>
      <c r="F75" s="330"/>
      <c r="G75" s="330"/>
      <c r="H75" s="330"/>
      <c r="I75" s="330"/>
      <c r="J75" s="330"/>
      <c r="K75" s="330"/>
      <c r="L75" s="329"/>
      <c r="M75" s="326"/>
      <c r="N75" s="327"/>
      <c r="O75" s="327"/>
    </row>
    <row r="76" spans="1:15" x14ac:dyDescent="0.2">
      <c r="A76" s="329"/>
      <c r="B76" s="329"/>
      <c r="C76" s="330"/>
      <c r="D76" s="330"/>
      <c r="E76" s="330"/>
      <c r="F76" s="330"/>
      <c r="G76" s="330"/>
      <c r="H76" s="330"/>
      <c r="I76" s="330"/>
      <c r="J76" s="330"/>
      <c r="K76" s="330"/>
      <c r="L76" s="329"/>
      <c r="M76" s="326"/>
      <c r="N76" s="327"/>
      <c r="O76" s="327"/>
    </row>
    <row r="77" spans="1:15" x14ac:dyDescent="0.2">
      <c r="A77" s="329"/>
      <c r="B77" s="329"/>
      <c r="C77" s="330"/>
      <c r="D77" s="330"/>
      <c r="E77" s="330"/>
      <c r="F77" s="330"/>
      <c r="G77" s="330"/>
      <c r="H77" s="330"/>
      <c r="I77" s="330"/>
      <c r="J77" s="330"/>
      <c r="K77" s="330"/>
      <c r="L77" s="329"/>
      <c r="M77" s="326"/>
      <c r="N77" s="327"/>
      <c r="O77" s="327"/>
    </row>
    <row r="78" spans="1:15" x14ac:dyDescent="0.2">
      <c r="A78" s="329"/>
      <c r="B78" s="329"/>
      <c r="C78" s="330"/>
      <c r="D78" s="330"/>
      <c r="E78" s="330"/>
      <c r="F78" s="330"/>
      <c r="G78" s="330"/>
      <c r="H78" s="330"/>
      <c r="I78" s="330"/>
      <c r="J78" s="330"/>
      <c r="K78" s="330"/>
      <c r="L78" s="329"/>
      <c r="M78" s="326"/>
      <c r="N78" s="327"/>
      <c r="O78" s="327"/>
    </row>
    <row r="79" spans="1:15" x14ac:dyDescent="0.2">
      <c r="A79" s="329"/>
      <c r="B79" s="329"/>
      <c r="C79" s="330"/>
      <c r="D79" s="330"/>
      <c r="E79" s="330"/>
      <c r="F79" s="330"/>
      <c r="G79" s="330"/>
      <c r="H79" s="330"/>
      <c r="I79" s="330"/>
      <c r="J79" s="330"/>
      <c r="K79" s="330"/>
      <c r="L79" s="329"/>
      <c r="M79" s="326"/>
      <c r="N79" s="327"/>
      <c r="O79" s="327"/>
    </row>
    <row r="80" spans="1:15" x14ac:dyDescent="0.2">
      <c r="A80" s="329"/>
      <c r="B80" s="329"/>
      <c r="C80" s="330"/>
      <c r="D80" s="330"/>
      <c r="E80" s="330"/>
      <c r="F80" s="330"/>
      <c r="G80" s="330"/>
      <c r="H80" s="330"/>
      <c r="I80" s="330"/>
      <c r="J80" s="330"/>
      <c r="K80" s="330"/>
      <c r="L80" s="329"/>
      <c r="M80" s="326"/>
      <c r="N80" s="327"/>
      <c r="O80" s="327"/>
    </row>
    <row r="81" spans="1:15" x14ac:dyDescent="0.2">
      <c r="A81" s="329"/>
      <c r="B81" s="329"/>
      <c r="C81" s="330"/>
      <c r="D81" s="330"/>
      <c r="E81" s="330"/>
      <c r="F81" s="330"/>
      <c r="G81" s="330"/>
      <c r="H81" s="330"/>
      <c r="I81" s="330"/>
      <c r="J81" s="330"/>
      <c r="K81" s="330"/>
      <c r="L81" s="329"/>
      <c r="M81" s="326"/>
      <c r="N81" s="327"/>
      <c r="O81" s="327"/>
    </row>
    <row r="82" spans="1:15" x14ac:dyDescent="0.2">
      <c r="A82" s="329"/>
      <c r="B82" s="329"/>
      <c r="C82" s="330"/>
      <c r="D82" s="330"/>
      <c r="E82" s="330"/>
      <c r="F82" s="330"/>
      <c r="G82" s="330"/>
      <c r="H82" s="330"/>
      <c r="I82" s="330"/>
      <c r="J82" s="330"/>
      <c r="K82" s="330"/>
      <c r="L82" s="329"/>
      <c r="M82" s="326"/>
      <c r="N82" s="327"/>
      <c r="O82" s="327"/>
    </row>
    <row r="83" spans="1:15" x14ac:dyDescent="0.2">
      <c r="A83" s="329"/>
      <c r="B83" s="329"/>
      <c r="C83" s="330"/>
      <c r="D83" s="330"/>
      <c r="E83" s="330"/>
      <c r="F83" s="330"/>
      <c r="G83" s="330"/>
      <c r="H83" s="330"/>
      <c r="I83" s="330"/>
      <c r="J83" s="330"/>
      <c r="K83" s="330"/>
      <c r="L83" s="329"/>
      <c r="M83" s="326"/>
      <c r="N83" s="327"/>
      <c r="O83" s="327"/>
    </row>
    <row r="84" spans="1:15" x14ac:dyDescent="0.2">
      <c r="A84" s="329"/>
      <c r="B84" s="329"/>
      <c r="C84" s="330"/>
      <c r="D84" s="330"/>
      <c r="E84" s="330"/>
      <c r="F84" s="330"/>
      <c r="G84" s="330"/>
      <c r="H84" s="330"/>
      <c r="I84" s="330"/>
      <c r="J84" s="330"/>
      <c r="K84" s="330"/>
      <c r="L84" s="329"/>
      <c r="M84" s="326"/>
      <c r="N84" s="327"/>
      <c r="O84" s="327"/>
    </row>
    <row r="85" spans="1:15" x14ac:dyDescent="0.2">
      <c r="A85" s="329"/>
      <c r="B85" s="329"/>
      <c r="C85" s="330"/>
      <c r="D85" s="330"/>
      <c r="E85" s="330"/>
      <c r="F85" s="330"/>
      <c r="G85" s="330"/>
      <c r="H85" s="330"/>
      <c r="I85" s="330"/>
      <c r="J85" s="330"/>
      <c r="K85" s="330"/>
      <c r="L85" s="329"/>
      <c r="M85" s="326"/>
      <c r="N85" s="327"/>
      <c r="O85" s="327"/>
    </row>
    <row r="86" spans="1:15" x14ac:dyDescent="0.2">
      <c r="A86" s="329"/>
      <c r="B86" s="329"/>
      <c r="C86" s="330"/>
      <c r="D86" s="330"/>
      <c r="E86" s="330"/>
      <c r="F86" s="330"/>
      <c r="G86" s="330"/>
      <c r="H86" s="330"/>
      <c r="I86" s="330"/>
      <c r="J86" s="330"/>
      <c r="K86" s="330"/>
      <c r="L86" s="329"/>
      <c r="M86" s="326"/>
      <c r="N86" s="327"/>
      <c r="O86" s="327"/>
    </row>
    <row r="87" spans="1:15" x14ac:dyDescent="0.2">
      <c r="A87" s="329"/>
      <c r="B87" s="329"/>
      <c r="C87" s="330"/>
      <c r="D87" s="330"/>
      <c r="E87" s="330"/>
      <c r="F87" s="330"/>
      <c r="G87" s="330"/>
      <c r="H87" s="330"/>
      <c r="I87" s="330"/>
      <c r="J87" s="330"/>
      <c r="K87" s="330"/>
      <c r="L87" s="329"/>
      <c r="M87" s="326"/>
      <c r="N87" s="327"/>
      <c r="O87" s="327"/>
    </row>
    <row r="88" spans="1:15" x14ac:dyDescent="0.2">
      <c r="A88" s="329"/>
      <c r="B88" s="329"/>
      <c r="C88" s="330"/>
      <c r="D88" s="330"/>
      <c r="E88" s="330"/>
      <c r="F88" s="330"/>
      <c r="G88" s="330"/>
      <c r="H88" s="330"/>
      <c r="I88" s="330"/>
      <c r="J88" s="330"/>
      <c r="K88" s="330"/>
      <c r="L88" s="329"/>
      <c r="M88" s="326"/>
      <c r="N88" s="327"/>
      <c r="O88" s="327"/>
    </row>
    <row r="89" spans="1:15" x14ac:dyDescent="0.2">
      <c r="A89" s="329"/>
      <c r="B89" s="329"/>
      <c r="C89" s="330"/>
      <c r="D89" s="330"/>
      <c r="E89" s="330"/>
      <c r="F89" s="330"/>
      <c r="G89" s="330"/>
      <c r="H89" s="330"/>
      <c r="I89" s="330"/>
      <c r="J89" s="330"/>
      <c r="K89" s="330"/>
      <c r="L89" s="329"/>
      <c r="M89" s="326"/>
      <c r="N89" s="327"/>
      <c r="O89" s="327"/>
    </row>
    <row r="90" spans="1:15" x14ac:dyDescent="0.2">
      <c r="A90" s="329"/>
      <c r="B90" s="329"/>
      <c r="C90" s="330"/>
      <c r="D90" s="330"/>
      <c r="E90" s="330"/>
      <c r="F90" s="330"/>
      <c r="G90" s="330"/>
      <c r="H90" s="330"/>
      <c r="I90" s="330"/>
      <c r="J90" s="330"/>
      <c r="K90" s="330"/>
      <c r="L90" s="329"/>
      <c r="M90" s="326"/>
      <c r="N90" s="327"/>
      <c r="O90" s="327"/>
    </row>
    <row r="91" spans="1:15" x14ac:dyDescent="0.2">
      <c r="A91" s="329"/>
      <c r="B91" s="329"/>
      <c r="C91" s="330"/>
      <c r="D91" s="330"/>
      <c r="E91" s="330"/>
      <c r="F91" s="330"/>
      <c r="G91" s="330"/>
      <c r="H91" s="330"/>
      <c r="I91" s="330"/>
      <c r="J91" s="330"/>
      <c r="K91" s="330"/>
      <c r="L91" s="329"/>
      <c r="M91" s="326"/>
      <c r="N91" s="327"/>
      <c r="O91" s="327"/>
    </row>
    <row r="92" spans="1:15" x14ac:dyDescent="0.2">
      <c r="A92" s="329"/>
      <c r="B92" s="329"/>
      <c r="C92" s="330"/>
      <c r="D92" s="330"/>
      <c r="E92" s="330"/>
      <c r="F92" s="330"/>
      <c r="G92" s="330"/>
      <c r="H92" s="330"/>
      <c r="I92" s="330"/>
      <c r="J92" s="330"/>
      <c r="K92" s="330"/>
      <c r="L92" s="329"/>
      <c r="M92" s="326"/>
      <c r="N92" s="327"/>
      <c r="O92" s="327"/>
    </row>
    <row r="93" spans="1:15" x14ac:dyDescent="0.2">
      <c r="A93" s="329"/>
      <c r="B93" s="329"/>
      <c r="C93" s="330"/>
      <c r="D93" s="330"/>
      <c r="E93" s="330"/>
      <c r="F93" s="330"/>
      <c r="G93" s="330"/>
      <c r="H93" s="330"/>
      <c r="I93" s="330"/>
      <c r="J93" s="330"/>
      <c r="K93" s="330"/>
      <c r="L93" s="329"/>
      <c r="M93" s="326"/>
      <c r="N93" s="327"/>
      <c r="O93" s="327"/>
    </row>
    <row r="94" spans="1:15" x14ac:dyDescent="0.2">
      <c r="A94" s="329"/>
      <c r="B94" s="329"/>
      <c r="C94" s="330"/>
      <c r="D94" s="330"/>
      <c r="E94" s="330"/>
      <c r="F94" s="330"/>
      <c r="G94" s="330"/>
      <c r="H94" s="330"/>
      <c r="I94" s="330"/>
      <c r="J94" s="330"/>
      <c r="K94" s="330"/>
      <c r="L94" s="329"/>
      <c r="M94" s="326"/>
      <c r="N94" s="327"/>
      <c r="O94" s="327"/>
    </row>
    <row r="95" spans="1:15" x14ac:dyDescent="0.2">
      <c r="A95" s="329"/>
      <c r="B95" s="329"/>
      <c r="C95" s="330"/>
      <c r="D95" s="330"/>
      <c r="E95" s="330"/>
      <c r="F95" s="330"/>
      <c r="G95" s="330"/>
      <c r="H95" s="330"/>
      <c r="I95" s="330"/>
      <c r="J95" s="330"/>
      <c r="K95" s="330"/>
      <c r="L95" s="329"/>
      <c r="M95" s="326"/>
      <c r="N95" s="327"/>
      <c r="O95" s="327"/>
    </row>
    <row r="96" spans="1:15" x14ac:dyDescent="0.2">
      <c r="A96" s="329"/>
      <c r="B96" s="329"/>
      <c r="C96" s="330"/>
      <c r="D96" s="330"/>
      <c r="E96" s="330"/>
      <c r="F96" s="330"/>
      <c r="G96" s="330"/>
      <c r="H96" s="330"/>
      <c r="I96" s="330"/>
      <c r="J96" s="330"/>
      <c r="K96" s="330"/>
      <c r="L96" s="329"/>
      <c r="M96" s="326"/>
      <c r="N96" s="327"/>
      <c r="O96" s="327"/>
    </row>
    <row r="97" spans="1:15" x14ac:dyDescent="0.2">
      <c r="A97" s="329"/>
      <c r="B97" s="329"/>
      <c r="C97" s="330"/>
      <c r="D97" s="330"/>
      <c r="E97" s="330"/>
      <c r="F97" s="330"/>
      <c r="G97" s="330"/>
      <c r="H97" s="330"/>
      <c r="I97" s="330"/>
      <c r="J97" s="330"/>
      <c r="K97" s="330"/>
      <c r="L97" s="329"/>
      <c r="M97" s="326"/>
      <c r="N97" s="327"/>
      <c r="O97" s="327"/>
    </row>
    <row r="98" spans="1:15" x14ac:dyDescent="0.2">
      <c r="A98" s="329"/>
      <c r="B98" s="329"/>
      <c r="C98" s="330"/>
      <c r="D98" s="330"/>
      <c r="E98" s="330"/>
      <c r="F98" s="330"/>
      <c r="G98" s="330"/>
      <c r="H98" s="330"/>
      <c r="I98" s="330"/>
      <c r="J98" s="330"/>
      <c r="K98" s="330"/>
      <c r="L98" s="329"/>
      <c r="M98" s="326"/>
      <c r="N98" s="327"/>
      <c r="O98" s="327"/>
    </row>
    <row r="99" spans="1:15" x14ac:dyDescent="0.2">
      <c r="A99" s="329"/>
      <c r="B99" s="329"/>
      <c r="C99" s="330"/>
      <c r="D99" s="330"/>
      <c r="E99" s="330"/>
      <c r="F99" s="330"/>
      <c r="G99" s="330"/>
      <c r="H99" s="330"/>
      <c r="I99" s="330"/>
      <c r="J99" s="330"/>
      <c r="K99" s="330"/>
      <c r="L99" s="329"/>
      <c r="M99" s="326"/>
      <c r="N99" s="327"/>
      <c r="O99" s="327"/>
    </row>
    <row r="100" spans="1:15" x14ac:dyDescent="0.2">
      <c r="A100" s="329"/>
      <c r="B100" s="329"/>
      <c r="C100" s="330"/>
      <c r="D100" s="330"/>
      <c r="E100" s="330"/>
      <c r="F100" s="330"/>
      <c r="G100" s="330"/>
      <c r="H100" s="330"/>
      <c r="I100" s="330"/>
      <c r="J100" s="330"/>
      <c r="K100" s="330"/>
      <c r="L100" s="329"/>
      <c r="M100" s="326"/>
      <c r="N100" s="327"/>
      <c r="O100" s="327"/>
    </row>
    <row r="101" spans="1:15" x14ac:dyDescent="0.2">
      <c r="A101" s="329"/>
      <c r="B101" s="329"/>
      <c r="C101" s="330"/>
      <c r="D101" s="330"/>
      <c r="E101" s="330"/>
      <c r="F101" s="330"/>
      <c r="G101" s="330"/>
      <c r="H101" s="330"/>
      <c r="I101" s="330"/>
      <c r="J101" s="330"/>
      <c r="K101" s="330"/>
      <c r="L101" s="329"/>
      <c r="M101" s="326"/>
      <c r="N101" s="327"/>
      <c r="O101" s="327"/>
    </row>
    <row r="102" spans="1:15" x14ac:dyDescent="0.2">
      <c r="A102" s="329"/>
      <c r="B102" s="329"/>
      <c r="C102" s="330"/>
      <c r="D102" s="330"/>
      <c r="E102" s="330"/>
      <c r="F102" s="330"/>
      <c r="G102" s="330"/>
      <c r="H102" s="330"/>
      <c r="I102" s="330"/>
      <c r="J102" s="330"/>
      <c r="K102" s="330"/>
      <c r="L102" s="329"/>
      <c r="M102" s="326"/>
      <c r="N102" s="327"/>
      <c r="O102" s="327"/>
    </row>
    <row r="103" spans="1:15" x14ac:dyDescent="0.2">
      <c r="A103" s="329"/>
      <c r="B103" s="329"/>
      <c r="C103" s="330"/>
      <c r="D103" s="330"/>
      <c r="E103" s="330"/>
      <c r="F103" s="330"/>
      <c r="G103" s="330"/>
      <c r="H103" s="330"/>
      <c r="I103" s="330"/>
      <c r="J103" s="330"/>
      <c r="K103" s="330"/>
      <c r="L103" s="329"/>
      <c r="M103" s="326"/>
      <c r="N103" s="327"/>
      <c r="O103" s="327"/>
    </row>
    <row r="104" spans="1:15" x14ac:dyDescent="0.2">
      <c r="A104" s="329"/>
      <c r="B104" s="329"/>
      <c r="C104" s="330"/>
      <c r="D104" s="330"/>
      <c r="E104" s="330"/>
      <c r="F104" s="330"/>
      <c r="G104" s="330"/>
      <c r="H104" s="330"/>
      <c r="I104" s="330"/>
      <c r="J104" s="330"/>
      <c r="K104" s="330"/>
      <c r="L104" s="329"/>
      <c r="M104" s="326"/>
      <c r="N104" s="327"/>
      <c r="O104" s="327"/>
    </row>
    <row r="105" spans="1:15" x14ac:dyDescent="0.2">
      <c r="A105" s="329"/>
      <c r="B105" s="329"/>
      <c r="C105" s="330"/>
      <c r="D105" s="330"/>
      <c r="E105" s="330"/>
      <c r="F105" s="330"/>
      <c r="G105" s="330"/>
      <c r="H105" s="330"/>
      <c r="I105" s="330"/>
      <c r="J105" s="330"/>
      <c r="K105" s="330"/>
      <c r="L105" s="329"/>
      <c r="M105" s="326"/>
      <c r="N105" s="327"/>
      <c r="O105" s="327"/>
    </row>
    <row r="106" spans="1:15" x14ac:dyDescent="0.2">
      <c r="A106" s="329"/>
      <c r="B106" s="329"/>
      <c r="C106" s="330"/>
      <c r="D106" s="330"/>
      <c r="E106" s="330"/>
      <c r="F106" s="330"/>
      <c r="G106" s="330"/>
      <c r="H106" s="330"/>
      <c r="I106" s="330"/>
      <c r="J106" s="330"/>
      <c r="K106" s="330"/>
      <c r="L106" s="329"/>
      <c r="M106" s="326"/>
      <c r="N106" s="327"/>
      <c r="O106" s="327"/>
    </row>
    <row r="107" spans="1:15" x14ac:dyDescent="0.2">
      <c r="A107" s="329"/>
      <c r="B107" s="329"/>
      <c r="C107" s="330"/>
      <c r="D107" s="330"/>
      <c r="E107" s="330"/>
      <c r="F107" s="330"/>
      <c r="G107" s="330"/>
      <c r="H107" s="330"/>
      <c r="I107" s="330"/>
      <c r="J107" s="330"/>
      <c r="K107" s="330"/>
      <c r="L107" s="329"/>
      <c r="M107" s="326"/>
      <c r="N107" s="327"/>
      <c r="O107" s="327"/>
    </row>
    <row r="108" spans="1:15" x14ac:dyDescent="0.2">
      <c r="A108" s="329"/>
      <c r="B108" s="329"/>
      <c r="C108" s="330"/>
      <c r="D108" s="330"/>
      <c r="E108" s="330"/>
      <c r="F108" s="330"/>
      <c r="G108" s="330"/>
      <c r="H108" s="330"/>
      <c r="I108" s="330"/>
      <c r="J108" s="330"/>
      <c r="K108" s="330"/>
      <c r="L108" s="329"/>
      <c r="M108" s="326"/>
      <c r="N108" s="327"/>
      <c r="O108" s="327"/>
    </row>
    <row r="109" spans="1:15" x14ac:dyDescent="0.2">
      <c r="A109" s="329"/>
      <c r="B109" s="329"/>
      <c r="C109" s="330"/>
      <c r="D109" s="330"/>
      <c r="E109" s="330"/>
      <c r="F109" s="330"/>
      <c r="G109" s="330"/>
      <c r="H109" s="330"/>
      <c r="I109" s="330"/>
      <c r="J109" s="330"/>
      <c r="K109" s="330"/>
      <c r="L109" s="329"/>
      <c r="M109" s="326"/>
      <c r="N109" s="327"/>
      <c r="O109" s="327"/>
    </row>
    <row r="110" spans="1:15" x14ac:dyDescent="0.2">
      <c r="A110" s="329"/>
      <c r="B110" s="329"/>
      <c r="C110" s="330"/>
      <c r="D110" s="330"/>
      <c r="E110" s="330"/>
      <c r="F110" s="330"/>
      <c r="G110" s="330"/>
      <c r="H110" s="330"/>
      <c r="I110" s="330"/>
      <c r="J110" s="330"/>
      <c r="K110" s="330"/>
      <c r="L110" s="329"/>
      <c r="M110" s="326"/>
      <c r="N110" s="327"/>
      <c r="O110" s="327"/>
    </row>
    <row r="111" spans="1:15" x14ac:dyDescent="0.2">
      <c r="A111" s="329"/>
      <c r="B111" s="329"/>
      <c r="C111" s="330"/>
      <c r="D111" s="330"/>
      <c r="E111" s="330"/>
      <c r="F111" s="330"/>
      <c r="G111" s="330"/>
      <c r="H111" s="330"/>
      <c r="I111" s="330"/>
      <c r="J111" s="330"/>
      <c r="K111" s="330"/>
      <c r="L111" s="329"/>
      <c r="M111" s="326"/>
      <c r="N111" s="327"/>
      <c r="O111" s="327"/>
    </row>
    <row r="112" spans="1:15" x14ac:dyDescent="0.2">
      <c r="A112" s="329"/>
      <c r="B112" s="329"/>
      <c r="C112" s="330"/>
      <c r="D112" s="330"/>
      <c r="E112" s="330"/>
      <c r="F112" s="330"/>
      <c r="G112" s="330"/>
      <c r="H112" s="330"/>
      <c r="I112" s="330"/>
      <c r="J112" s="330"/>
      <c r="K112" s="330"/>
      <c r="L112" s="329"/>
      <c r="M112" s="326"/>
      <c r="N112" s="327"/>
      <c r="O112" s="327"/>
    </row>
    <row r="113" spans="1:15" x14ac:dyDescent="0.2">
      <c r="A113" s="329"/>
      <c r="B113" s="329"/>
      <c r="C113" s="330"/>
      <c r="D113" s="330"/>
      <c r="E113" s="330"/>
      <c r="F113" s="330"/>
      <c r="G113" s="330"/>
      <c r="H113" s="330"/>
      <c r="I113" s="330"/>
      <c r="J113" s="330"/>
      <c r="K113" s="330"/>
      <c r="L113" s="329"/>
      <c r="M113" s="326"/>
      <c r="N113" s="327"/>
      <c r="O113" s="327"/>
    </row>
    <row r="114" spans="1:15" x14ac:dyDescent="0.2">
      <c r="A114" s="329"/>
      <c r="B114" s="329"/>
      <c r="C114" s="330"/>
      <c r="D114" s="330"/>
      <c r="E114" s="330"/>
      <c r="F114" s="330"/>
      <c r="G114" s="330"/>
      <c r="H114" s="330"/>
      <c r="I114" s="330"/>
      <c r="J114" s="330"/>
      <c r="K114" s="330"/>
      <c r="L114" s="329"/>
      <c r="M114" s="326"/>
      <c r="N114" s="327"/>
      <c r="O114" s="327"/>
    </row>
    <row r="115" spans="1:15" x14ac:dyDescent="0.2">
      <c r="A115" s="329"/>
      <c r="B115" s="329"/>
      <c r="C115" s="330"/>
      <c r="D115" s="330"/>
      <c r="E115" s="330"/>
      <c r="F115" s="330"/>
      <c r="G115" s="330"/>
      <c r="H115" s="330"/>
      <c r="I115" s="330"/>
      <c r="J115" s="330"/>
      <c r="K115" s="330"/>
      <c r="L115" s="329"/>
      <c r="M115" s="326"/>
      <c r="N115" s="327"/>
      <c r="O115" s="327"/>
    </row>
    <row r="116" spans="1:15" x14ac:dyDescent="0.2">
      <c r="A116" s="329"/>
      <c r="B116" s="329"/>
      <c r="C116" s="330"/>
      <c r="D116" s="330"/>
      <c r="E116" s="330"/>
      <c r="F116" s="330"/>
      <c r="G116" s="330"/>
      <c r="H116" s="330"/>
      <c r="I116" s="330"/>
      <c r="J116" s="330"/>
      <c r="K116" s="330"/>
      <c r="L116" s="329"/>
      <c r="M116" s="326"/>
      <c r="N116" s="327"/>
      <c r="O116" s="327"/>
    </row>
    <row r="117" spans="1:15" x14ac:dyDescent="0.2">
      <c r="A117" s="329"/>
      <c r="B117" s="329"/>
      <c r="C117" s="330"/>
      <c r="D117" s="330"/>
      <c r="E117" s="330"/>
      <c r="F117" s="330"/>
      <c r="G117" s="330"/>
      <c r="H117" s="330"/>
      <c r="I117" s="330"/>
      <c r="J117" s="330"/>
      <c r="K117" s="330"/>
      <c r="L117" s="329"/>
      <c r="M117" s="326"/>
      <c r="N117" s="327"/>
      <c r="O117" s="327"/>
    </row>
    <row r="118" spans="1:15" x14ac:dyDescent="0.2">
      <c r="A118" s="329"/>
      <c r="B118" s="329"/>
      <c r="C118" s="330"/>
      <c r="D118" s="330"/>
      <c r="E118" s="330"/>
      <c r="F118" s="330"/>
      <c r="G118" s="330"/>
      <c r="H118" s="330"/>
      <c r="I118" s="330"/>
      <c r="J118" s="330"/>
      <c r="K118" s="330"/>
      <c r="L118" s="329"/>
      <c r="M118" s="326"/>
      <c r="N118" s="327"/>
      <c r="O118" s="327"/>
    </row>
    <row r="119" spans="1:15" x14ac:dyDescent="0.2">
      <c r="A119" s="329"/>
      <c r="B119" s="329"/>
      <c r="C119" s="330"/>
      <c r="D119" s="330"/>
      <c r="E119" s="330"/>
      <c r="F119" s="330"/>
      <c r="G119" s="330"/>
      <c r="H119" s="330"/>
      <c r="I119" s="330"/>
      <c r="J119" s="330"/>
      <c r="K119" s="330"/>
      <c r="L119" s="329"/>
      <c r="M119" s="326"/>
      <c r="N119" s="327"/>
      <c r="O119" s="327"/>
    </row>
    <row r="120" spans="1:15" x14ac:dyDescent="0.2">
      <c r="A120" s="329"/>
      <c r="B120" s="329"/>
      <c r="C120" s="330"/>
      <c r="D120" s="330"/>
      <c r="E120" s="330"/>
      <c r="F120" s="330"/>
      <c r="G120" s="330"/>
      <c r="H120" s="330"/>
      <c r="I120" s="330"/>
      <c r="J120" s="330"/>
      <c r="K120" s="330"/>
      <c r="L120" s="329"/>
      <c r="M120" s="326"/>
      <c r="N120" s="327"/>
      <c r="O120" s="327"/>
    </row>
    <row r="121" spans="1:15" x14ac:dyDescent="0.2">
      <c r="A121" s="329"/>
      <c r="B121" s="329"/>
      <c r="C121" s="330"/>
      <c r="D121" s="330"/>
      <c r="E121" s="330"/>
      <c r="F121" s="330"/>
      <c r="G121" s="330"/>
      <c r="H121" s="330"/>
      <c r="I121" s="330"/>
      <c r="J121" s="330"/>
      <c r="K121" s="330"/>
      <c r="L121" s="329"/>
      <c r="M121" s="326"/>
      <c r="N121" s="327"/>
      <c r="O121" s="327"/>
    </row>
    <row r="122" spans="1:15" x14ac:dyDescent="0.2">
      <c r="A122" s="329"/>
      <c r="B122" s="329"/>
      <c r="C122" s="330"/>
      <c r="D122" s="330"/>
      <c r="E122" s="330"/>
      <c r="F122" s="330"/>
      <c r="G122" s="330"/>
      <c r="H122" s="330"/>
      <c r="I122" s="330"/>
      <c r="J122" s="330"/>
      <c r="K122" s="330"/>
      <c r="L122" s="329"/>
      <c r="M122" s="326"/>
      <c r="N122" s="327"/>
      <c r="O122" s="327"/>
    </row>
    <row r="123" spans="1:15" x14ac:dyDescent="0.2">
      <c r="A123" s="329"/>
      <c r="B123" s="329"/>
      <c r="C123" s="330"/>
      <c r="D123" s="330"/>
      <c r="E123" s="330"/>
      <c r="F123" s="330"/>
      <c r="G123" s="330"/>
      <c r="H123" s="330"/>
      <c r="I123" s="330"/>
      <c r="J123" s="330"/>
      <c r="K123" s="330"/>
      <c r="L123" s="329"/>
      <c r="M123" s="326"/>
      <c r="N123" s="327"/>
      <c r="O123" s="327"/>
    </row>
    <row r="124" spans="1:15" x14ac:dyDescent="0.2">
      <c r="A124" s="329"/>
      <c r="B124" s="329"/>
      <c r="C124" s="330"/>
      <c r="D124" s="330"/>
      <c r="E124" s="330"/>
      <c r="F124" s="330"/>
      <c r="G124" s="330"/>
      <c r="H124" s="330"/>
      <c r="I124" s="330"/>
      <c r="J124" s="330"/>
      <c r="K124" s="330"/>
      <c r="L124" s="329"/>
      <c r="M124" s="326"/>
      <c r="N124" s="327"/>
      <c r="O124" s="327"/>
    </row>
    <row r="125" spans="1:15" x14ac:dyDescent="0.2">
      <c r="A125" s="329"/>
      <c r="B125" s="329"/>
      <c r="C125" s="330"/>
      <c r="D125" s="330"/>
      <c r="E125" s="330"/>
      <c r="F125" s="330"/>
      <c r="G125" s="330"/>
      <c r="H125" s="330"/>
      <c r="I125" s="330"/>
      <c r="J125" s="330"/>
      <c r="K125" s="330"/>
      <c r="L125" s="329"/>
      <c r="M125" s="326"/>
      <c r="N125" s="327"/>
      <c r="O125" s="327"/>
    </row>
    <row r="126" spans="1:15" x14ac:dyDescent="0.2">
      <c r="A126" s="329"/>
      <c r="B126" s="329"/>
      <c r="C126" s="330"/>
      <c r="D126" s="330"/>
      <c r="E126" s="330"/>
      <c r="F126" s="330"/>
      <c r="G126" s="330"/>
      <c r="H126" s="330"/>
      <c r="I126" s="330"/>
      <c r="J126" s="330"/>
      <c r="K126" s="330"/>
      <c r="L126" s="329"/>
      <c r="M126" s="326"/>
      <c r="N126" s="327"/>
      <c r="O126" s="327"/>
    </row>
    <row r="127" spans="1:15" x14ac:dyDescent="0.2">
      <c r="A127" s="329"/>
      <c r="B127" s="329"/>
      <c r="C127" s="330"/>
      <c r="D127" s="330"/>
      <c r="E127" s="330"/>
      <c r="F127" s="330"/>
      <c r="G127" s="330"/>
      <c r="H127" s="330"/>
      <c r="I127" s="330"/>
      <c r="J127" s="330"/>
      <c r="K127" s="330"/>
      <c r="L127" s="329"/>
      <c r="M127" s="326"/>
      <c r="N127" s="327"/>
      <c r="O127" s="327"/>
    </row>
    <row r="128" spans="1:15" x14ac:dyDescent="0.2">
      <c r="A128" s="329"/>
      <c r="B128" s="329"/>
      <c r="C128" s="330"/>
      <c r="D128" s="330"/>
      <c r="E128" s="330"/>
      <c r="F128" s="330"/>
      <c r="G128" s="330"/>
      <c r="H128" s="330"/>
      <c r="I128" s="330"/>
      <c r="J128" s="330"/>
      <c r="K128" s="330"/>
      <c r="L128" s="329"/>
      <c r="M128" s="326"/>
      <c r="N128" s="327"/>
      <c r="O128" s="327"/>
    </row>
    <row r="129" spans="1:15" x14ac:dyDescent="0.2">
      <c r="A129" s="329"/>
      <c r="B129" s="329"/>
      <c r="C129" s="330"/>
      <c r="D129" s="330"/>
      <c r="E129" s="330"/>
      <c r="F129" s="330"/>
      <c r="G129" s="330"/>
      <c r="H129" s="330"/>
      <c r="I129" s="330"/>
      <c r="J129" s="330"/>
      <c r="K129" s="330"/>
      <c r="L129" s="329"/>
      <c r="M129" s="326"/>
      <c r="N129" s="327"/>
      <c r="O129" s="327"/>
    </row>
    <row r="130" spans="1:15" x14ac:dyDescent="0.2">
      <c r="A130" s="329"/>
      <c r="B130" s="329"/>
      <c r="C130" s="330"/>
      <c r="D130" s="330"/>
      <c r="E130" s="330"/>
      <c r="F130" s="330"/>
      <c r="G130" s="330"/>
      <c r="H130" s="330"/>
      <c r="I130" s="330"/>
      <c r="J130" s="330"/>
      <c r="K130" s="330"/>
      <c r="L130" s="329"/>
      <c r="M130" s="326"/>
      <c r="N130" s="327"/>
      <c r="O130" s="327"/>
    </row>
    <row r="131" spans="1:15" x14ac:dyDescent="0.2">
      <c r="A131" s="329"/>
      <c r="B131" s="329"/>
      <c r="C131" s="330"/>
      <c r="D131" s="330"/>
      <c r="E131" s="330"/>
      <c r="F131" s="330"/>
      <c r="G131" s="330"/>
      <c r="H131" s="330"/>
      <c r="I131" s="330"/>
      <c r="J131" s="330"/>
      <c r="K131" s="330"/>
      <c r="L131" s="329"/>
      <c r="M131" s="326"/>
      <c r="N131" s="327"/>
      <c r="O131" s="327"/>
    </row>
    <row r="132" spans="1:15" x14ac:dyDescent="0.2">
      <c r="A132" s="329"/>
      <c r="B132" s="329"/>
      <c r="C132" s="330"/>
      <c r="D132" s="330"/>
      <c r="E132" s="330"/>
      <c r="F132" s="330"/>
      <c r="G132" s="330"/>
      <c r="H132" s="330"/>
      <c r="I132" s="330"/>
      <c r="J132" s="330"/>
      <c r="K132" s="330"/>
      <c r="L132" s="329"/>
      <c r="M132" s="326"/>
      <c r="N132" s="327"/>
      <c r="O132" s="327"/>
    </row>
    <row r="133" spans="1:15" x14ac:dyDescent="0.2">
      <c r="A133" s="329"/>
      <c r="B133" s="329"/>
      <c r="C133" s="330"/>
      <c r="D133" s="330"/>
      <c r="E133" s="330"/>
      <c r="F133" s="330"/>
      <c r="G133" s="330"/>
      <c r="H133" s="330"/>
      <c r="I133" s="330"/>
      <c r="J133" s="330"/>
      <c r="K133" s="330"/>
      <c r="L133" s="329"/>
      <c r="M133" s="326"/>
      <c r="N133" s="327"/>
      <c r="O133" s="327"/>
    </row>
    <row r="134" spans="1:15" x14ac:dyDescent="0.2">
      <c r="A134" s="329"/>
      <c r="B134" s="329"/>
      <c r="C134" s="330"/>
      <c r="D134" s="330"/>
      <c r="E134" s="330"/>
      <c r="F134" s="330"/>
      <c r="G134" s="330"/>
      <c r="H134" s="330"/>
      <c r="I134" s="330"/>
      <c r="J134" s="330"/>
      <c r="K134" s="330"/>
      <c r="L134" s="329"/>
      <c r="M134" s="326"/>
      <c r="N134" s="327"/>
      <c r="O134" s="327"/>
    </row>
    <row r="135" spans="1:15" x14ac:dyDescent="0.2">
      <c r="A135" s="329"/>
      <c r="B135" s="329"/>
      <c r="C135" s="330"/>
      <c r="D135" s="330"/>
      <c r="E135" s="330"/>
      <c r="F135" s="330"/>
      <c r="G135" s="330"/>
      <c r="H135" s="330"/>
      <c r="I135" s="330"/>
      <c r="J135" s="330"/>
      <c r="K135" s="330"/>
      <c r="L135" s="329"/>
      <c r="M135" s="326"/>
      <c r="N135" s="327"/>
      <c r="O135" s="327"/>
    </row>
    <row r="136" spans="1:15" x14ac:dyDescent="0.2">
      <c r="A136" s="329"/>
      <c r="B136" s="329"/>
      <c r="C136" s="330"/>
      <c r="D136" s="330"/>
      <c r="E136" s="330"/>
      <c r="F136" s="330"/>
      <c r="G136" s="330"/>
      <c r="H136" s="330"/>
      <c r="I136" s="330"/>
      <c r="J136" s="330"/>
      <c r="K136" s="330"/>
      <c r="L136" s="329"/>
      <c r="M136" s="326"/>
      <c r="N136" s="327"/>
      <c r="O136" s="327"/>
    </row>
    <row r="137" spans="1:15" x14ac:dyDescent="0.2">
      <c r="A137" s="329"/>
      <c r="B137" s="329"/>
      <c r="C137" s="330"/>
      <c r="D137" s="330"/>
      <c r="E137" s="330"/>
      <c r="F137" s="330"/>
      <c r="G137" s="330"/>
      <c r="H137" s="330"/>
      <c r="I137" s="330"/>
      <c r="J137" s="330"/>
      <c r="K137" s="330"/>
      <c r="L137" s="329"/>
      <c r="M137" s="326"/>
      <c r="N137" s="327"/>
      <c r="O137" s="327"/>
    </row>
    <row r="138" spans="1:15" x14ac:dyDescent="0.2">
      <c r="A138" s="329"/>
      <c r="B138" s="329"/>
      <c r="C138" s="330"/>
      <c r="D138" s="330"/>
      <c r="E138" s="330"/>
      <c r="F138" s="330"/>
      <c r="G138" s="330"/>
      <c r="H138" s="330"/>
      <c r="I138" s="330"/>
      <c r="J138" s="330"/>
      <c r="K138" s="330"/>
      <c r="L138" s="329"/>
      <c r="M138" s="326"/>
      <c r="N138" s="327"/>
      <c r="O138" s="327"/>
    </row>
    <row r="139" spans="1:15" x14ac:dyDescent="0.2">
      <c r="A139" s="329"/>
      <c r="B139" s="329"/>
      <c r="C139" s="330"/>
      <c r="D139" s="330"/>
      <c r="E139" s="330"/>
      <c r="F139" s="330"/>
      <c r="G139" s="330"/>
      <c r="H139" s="330"/>
      <c r="I139" s="330"/>
      <c r="J139" s="330"/>
      <c r="K139" s="330"/>
      <c r="L139" s="329"/>
      <c r="M139" s="326"/>
      <c r="N139" s="327"/>
      <c r="O139" s="327"/>
    </row>
    <row r="140" spans="1:15" x14ac:dyDescent="0.2">
      <c r="A140" s="329"/>
      <c r="B140" s="329"/>
      <c r="C140" s="330"/>
      <c r="D140" s="330"/>
      <c r="E140" s="330"/>
      <c r="F140" s="330"/>
      <c r="G140" s="330"/>
      <c r="H140" s="330"/>
      <c r="I140" s="330"/>
      <c r="J140" s="330"/>
      <c r="K140" s="330"/>
      <c r="L140" s="329"/>
      <c r="M140" s="326"/>
      <c r="N140" s="327"/>
      <c r="O140" s="327"/>
    </row>
    <row r="141" spans="1:15" x14ac:dyDescent="0.2">
      <c r="A141" s="329"/>
      <c r="B141" s="329"/>
      <c r="C141" s="330"/>
      <c r="D141" s="330"/>
      <c r="E141" s="330"/>
      <c r="F141" s="330"/>
      <c r="G141" s="330"/>
      <c r="H141" s="330"/>
      <c r="I141" s="330"/>
      <c r="J141" s="330"/>
      <c r="K141" s="330"/>
      <c r="L141" s="329"/>
      <c r="M141" s="326"/>
      <c r="N141" s="327"/>
      <c r="O141" s="327"/>
    </row>
    <row r="142" spans="1:15" x14ac:dyDescent="0.2">
      <c r="A142" s="329"/>
      <c r="B142" s="329"/>
      <c r="C142" s="330"/>
      <c r="D142" s="330"/>
      <c r="E142" s="330"/>
      <c r="F142" s="330"/>
      <c r="G142" s="330"/>
      <c r="H142" s="330"/>
      <c r="I142" s="330"/>
      <c r="J142" s="330"/>
      <c r="K142" s="330"/>
      <c r="L142" s="329"/>
      <c r="M142" s="326"/>
      <c r="N142" s="327"/>
      <c r="O142" s="327"/>
    </row>
    <row r="143" spans="1:15" x14ac:dyDescent="0.2">
      <c r="A143" s="329"/>
      <c r="B143" s="329"/>
      <c r="C143" s="330"/>
      <c r="D143" s="330"/>
      <c r="E143" s="330"/>
      <c r="F143" s="330"/>
      <c r="G143" s="330"/>
      <c r="H143" s="330"/>
      <c r="I143" s="330"/>
      <c r="J143" s="330"/>
      <c r="K143" s="330"/>
      <c r="L143" s="329"/>
      <c r="M143" s="326"/>
      <c r="N143" s="327"/>
      <c r="O143" s="327"/>
    </row>
    <row r="144" spans="1:15" x14ac:dyDescent="0.2">
      <c r="A144" s="329"/>
      <c r="B144" s="329"/>
      <c r="C144" s="330"/>
      <c r="D144" s="330"/>
      <c r="E144" s="330"/>
      <c r="F144" s="330"/>
      <c r="G144" s="330"/>
      <c r="H144" s="330"/>
      <c r="I144" s="330"/>
      <c r="J144" s="330"/>
      <c r="K144" s="330"/>
      <c r="L144" s="329"/>
      <c r="M144" s="326"/>
      <c r="N144" s="327"/>
      <c r="O144" s="327"/>
    </row>
    <row r="145" spans="1:15" x14ac:dyDescent="0.2">
      <c r="A145" s="329"/>
      <c r="B145" s="329"/>
      <c r="C145" s="330"/>
      <c r="D145" s="330"/>
      <c r="E145" s="330"/>
      <c r="F145" s="330"/>
      <c r="G145" s="330"/>
      <c r="H145" s="330"/>
      <c r="I145" s="330"/>
      <c r="J145" s="330"/>
      <c r="K145" s="330"/>
      <c r="L145" s="329"/>
      <c r="M145" s="326"/>
      <c r="N145" s="327"/>
      <c r="O145" s="327"/>
    </row>
    <row r="146" spans="1:15" x14ac:dyDescent="0.2">
      <c r="A146" s="329"/>
      <c r="B146" s="329"/>
      <c r="C146" s="330"/>
      <c r="D146" s="330"/>
      <c r="E146" s="330"/>
      <c r="F146" s="330"/>
      <c r="G146" s="330"/>
      <c r="H146" s="330"/>
      <c r="I146" s="330"/>
      <c r="J146" s="330"/>
      <c r="K146" s="330"/>
      <c r="L146" s="329"/>
      <c r="M146" s="326"/>
      <c r="N146" s="327"/>
      <c r="O146" s="327"/>
    </row>
    <row r="147" spans="1:15" x14ac:dyDescent="0.2">
      <c r="A147" s="329"/>
      <c r="B147" s="329"/>
      <c r="C147" s="330"/>
      <c r="D147" s="330"/>
      <c r="E147" s="330"/>
      <c r="F147" s="330"/>
      <c r="G147" s="330"/>
      <c r="H147" s="330"/>
      <c r="I147" s="330"/>
      <c r="J147" s="330"/>
      <c r="K147" s="330"/>
      <c r="L147" s="329"/>
      <c r="M147" s="326"/>
      <c r="N147" s="327"/>
      <c r="O147" s="327"/>
    </row>
    <row r="148" spans="1:15" x14ac:dyDescent="0.2">
      <c r="A148" s="329"/>
      <c r="B148" s="329"/>
      <c r="C148" s="330"/>
      <c r="D148" s="330"/>
      <c r="E148" s="330"/>
      <c r="F148" s="330"/>
      <c r="G148" s="330"/>
      <c r="H148" s="330"/>
      <c r="I148" s="330"/>
      <c r="J148" s="330"/>
      <c r="K148" s="330"/>
      <c r="L148" s="329"/>
      <c r="M148" s="326"/>
      <c r="N148" s="327"/>
      <c r="O148" s="327"/>
    </row>
    <row r="149" spans="1:15" x14ac:dyDescent="0.2">
      <c r="A149" s="329"/>
      <c r="B149" s="329"/>
      <c r="C149" s="330"/>
      <c r="D149" s="330"/>
      <c r="E149" s="330"/>
      <c r="F149" s="330"/>
      <c r="G149" s="330"/>
      <c r="H149" s="330"/>
      <c r="I149" s="330"/>
      <c r="J149" s="330"/>
      <c r="K149" s="330"/>
      <c r="L149" s="329"/>
      <c r="M149" s="326"/>
      <c r="N149" s="327"/>
      <c r="O149" s="327"/>
    </row>
    <row r="150" spans="1:15" x14ac:dyDescent="0.2">
      <c r="A150" s="329"/>
      <c r="B150" s="329"/>
      <c r="C150" s="330"/>
      <c r="D150" s="330"/>
      <c r="E150" s="330"/>
      <c r="F150" s="330"/>
      <c r="G150" s="330"/>
      <c r="H150" s="330"/>
      <c r="I150" s="330"/>
      <c r="J150" s="330"/>
      <c r="K150" s="330"/>
      <c r="L150" s="329"/>
      <c r="M150" s="326"/>
      <c r="N150" s="327"/>
      <c r="O150" s="327"/>
    </row>
    <row r="151" spans="1:15" x14ac:dyDescent="0.2">
      <c r="A151" s="329"/>
      <c r="B151" s="329"/>
      <c r="C151" s="330"/>
      <c r="D151" s="330"/>
      <c r="E151" s="330"/>
      <c r="F151" s="330"/>
      <c r="G151" s="330"/>
      <c r="H151" s="330"/>
      <c r="I151" s="330"/>
      <c r="J151" s="330"/>
      <c r="K151" s="330"/>
      <c r="L151" s="329"/>
      <c r="M151" s="326"/>
      <c r="N151" s="327"/>
      <c r="O151" s="327"/>
    </row>
    <row r="152" spans="1:15" x14ac:dyDescent="0.2">
      <c r="A152" s="329"/>
      <c r="B152" s="329"/>
      <c r="C152" s="330"/>
      <c r="D152" s="330"/>
      <c r="E152" s="330"/>
      <c r="F152" s="330"/>
      <c r="G152" s="330"/>
      <c r="H152" s="330"/>
      <c r="I152" s="330"/>
      <c r="J152" s="330"/>
      <c r="K152" s="330"/>
      <c r="L152" s="329"/>
      <c r="M152" s="326"/>
      <c r="N152" s="327"/>
      <c r="O152" s="327"/>
    </row>
    <row r="153" spans="1:15" x14ac:dyDescent="0.2">
      <c r="A153" s="329"/>
      <c r="B153" s="329"/>
      <c r="C153" s="330"/>
      <c r="D153" s="330"/>
      <c r="E153" s="330"/>
      <c r="F153" s="330"/>
      <c r="G153" s="330"/>
      <c r="H153" s="330"/>
      <c r="I153" s="330"/>
      <c r="J153" s="330"/>
      <c r="K153" s="330"/>
      <c r="L153" s="329"/>
      <c r="M153" s="326"/>
      <c r="N153" s="327"/>
      <c r="O153" s="327"/>
    </row>
    <row r="154" spans="1:15" x14ac:dyDescent="0.2">
      <c r="A154" s="329"/>
      <c r="B154" s="329"/>
      <c r="C154" s="330"/>
      <c r="D154" s="330"/>
      <c r="E154" s="330"/>
      <c r="F154" s="330"/>
      <c r="G154" s="330"/>
      <c r="H154" s="330"/>
      <c r="I154" s="330"/>
      <c r="J154" s="330"/>
      <c r="K154" s="330"/>
      <c r="L154" s="329"/>
      <c r="M154" s="326"/>
      <c r="N154" s="327"/>
      <c r="O154" s="327"/>
    </row>
    <row r="155" spans="1:15" x14ac:dyDescent="0.2">
      <c r="A155" s="329"/>
      <c r="B155" s="329"/>
      <c r="C155" s="330"/>
      <c r="D155" s="330"/>
      <c r="E155" s="330"/>
      <c r="F155" s="330"/>
      <c r="G155" s="330"/>
      <c r="H155" s="330"/>
      <c r="I155" s="330"/>
      <c r="J155" s="330"/>
      <c r="K155" s="330"/>
      <c r="L155" s="329"/>
      <c r="M155" s="326"/>
      <c r="N155" s="327"/>
      <c r="O155" s="327"/>
    </row>
    <row r="156" spans="1:15" x14ac:dyDescent="0.2">
      <c r="A156" s="329"/>
      <c r="B156" s="329"/>
      <c r="C156" s="330"/>
      <c r="D156" s="330"/>
      <c r="E156" s="330"/>
      <c r="F156" s="330"/>
      <c r="G156" s="330"/>
      <c r="H156" s="330"/>
      <c r="I156" s="330"/>
      <c r="J156" s="330"/>
      <c r="K156" s="330"/>
      <c r="L156" s="329"/>
      <c r="M156" s="326"/>
      <c r="N156" s="327"/>
      <c r="O156" s="327"/>
    </row>
    <row r="157" spans="1:15" x14ac:dyDescent="0.2">
      <c r="A157" s="329"/>
      <c r="B157" s="329"/>
      <c r="C157" s="330"/>
      <c r="D157" s="330"/>
      <c r="E157" s="330"/>
      <c r="F157" s="330"/>
      <c r="G157" s="330"/>
      <c r="H157" s="330"/>
      <c r="I157" s="330"/>
      <c r="J157" s="330"/>
      <c r="K157" s="330"/>
      <c r="L157" s="329"/>
      <c r="M157" s="326"/>
      <c r="N157" s="327"/>
      <c r="O157" s="327"/>
    </row>
    <row r="158" spans="1:15" x14ac:dyDescent="0.2">
      <c r="A158" s="329"/>
      <c r="B158" s="329"/>
      <c r="C158" s="330"/>
      <c r="D158" s="330"/>
      <c r="E158" s="330"/>
      <c r="F158" s="330"/>
      <c r="G158" s="330"/>
      <c r="H158" s="330"/>
      <c r="I158" s="330"/>
      <c r="J158" s="330"/>
      <c r="K158" s="330"/>
      <c r="L158" s="329"/>
      <c r="M158" s="326"/>
      <c r="N158" s="327"/>
      <c r="O158" s="327"/>
    </row>
    <row r="159" spans="1:15" x14ac:dyDescent="0.2">
      <c r="A159" s="329"/>
      <c r="B159" s="329"/>
      <c r="C159" s="330"/>
      <c r="D159" s="330"/>
      <c r="E159" s="330"/>
      <c r="F159" s="330"/>
      <c r="G159" s="330"/>
      <c r="H159" s="330"/>
      <c r="I159" s="330"/>
      <c r="J159" s="330"/>
      <c r="K159" s="330"/>
      <c r="L159" s="329"/>
      <c r="M159" s="326"/>
      <c r="N159" s="327"/>
      <c r="O159" s="327"/>
    </row>
    <row r="160" spans="1:15" x14ac:dyDescent="0.2">
      <c r="A160" s="329"/>
      <c r="B160" s="329"/>
      <c r="C160" s="330"/>
      <c r="D160" s="330"/>
      <c r="E160" s="330"/>
      <c r="F160" s="330"/>
      <c r="G160" s="330"/>
      <c r="H160" s="330"/>
      <c r="I160" s="330"/>
      <c r="J160" s="330"/>
      <c r="K160" s="330"/>
      <c r="L160" s="329"/>
      <c r="M160" s="326"/>
      <c r="N160" s="327"/>
      <c r="O160" s="327"/>
    </row>
    <row r="161" spans="1:15" x14ac:dyDescent="0.2">
      <c r="A161" s="329"/>
      <c r="B161" s="329"/>
      <c r="C161" s="330"/>
      <c r="D161" s="330"/>
      <c r="E161" s="330"/>
      <c r="F161" s="330"/>
      <c r="G161" s="330"/>
      <c r="H161" s="330"/>
      <c r="I161" s="330"/>
      <c r="J161" s="330"/>
      <c r="K161" s="330"/>
      <c r="L161" s="329"/>
      <c r="M161" s="326"/>
      <c r="N161" s="327"/>
      <c r="O161" s="327"/>
    </row>
    <row r="162" spans="1:15" x14ac:dyDescent="0.2">
      <c r="A162" s="329"/>
      <c r="B162" s="329"/>
      <c r="C162" s="330"/>
      <c r="D162" s="330"/>
      <c r="E162" s="330"/>
      <c r="F162" s="330"/>
      <c r="G162" s="330"/>
      <c r="H162" s="330"/>
      <c r="I162" s="330"/>
      <c r="J162" s="330"/>
      <c r="K162" s="330"/>
      <c r="L162" s="329"/>
      <c r="M162" s="326"/>
      <c r="N162" s="327"/>
      <c r="O162" s="327"/>
    </row>
    <row r="163" spans="1:15" x14ac:dyDescent="0.2">
      <c r="A163" s="329"/>
      <c r="B163" s="329"/>
      <c r="C163" s="330"/>
      <c r="D163" s="330"/>
      <c r="E163" s="330"/>
      <c r="F163" s="330"/>
      <c r="G163" s="330"/>
      <c r="H163" s="330"/>
      <c r="I163" s="330"/>
      <c r="J163" s="330"/>
      <c r="K163" s="330"/>
      <c r="L163" s="329"/>
      <c r="M163" s="326"/>
      <c r="N163" s="327"/>
      <c r="O163" s="327"/>
    </row>
    <row r="164" spans="1:15" x14ac:dyDescent="0.2">
      <c r="A164" s="329"/>
      <c r="B164" s="329"/>
      <c r="C164" s="330"/>
      <c r="D164" s="330"/>
      <c r="E164" s="330"/>
      <c r="F164" s="330"/>
      <c r="G164" s="330"/>
      <c r="H164" s="330"/>
      <c r="I164" s="330"/>
      <c r="J164" s="330"/>
      <c r="K164" s="330"/>
      <c r="L164" s="329"/>
      <c r="M164" s="326"/>
      <c r="N164" s="327"/>
      <c r="O164" s="327"/>
    </row>
    <row r="165" spans="1:15" x14ac:dyDescent="0.2">
      <c r="A165" s="329"/>
      <c r="B165" s="329"/>
      <c r="C165" s="330"/>
      <c r="D165" s="330"/>
      <c r="E165" s="330"/>
      <c r="F165" s="330"/>
      <c r="G165" s="330"/>
      <c r="H165" s="330"/>
      <c r="I165" s="330"/>
      <c r="J165" s="330"/>
      <c r="K165" s="330"/>
      <c r="L165" s="329"/>
      <c r="M165" s="326"/>
      <c r="N165" s="327"/>
      <c r="O165" s="327"/>
    </row>
    <row r="166" spans="1:15" x14ac:dyDescent="0.2">
      <c r="A166" s="329"/>
      <c r="B166" s="329"/>
      <c r="C166" s="330"/>
      <c r="D166" s="330"/>
      <c r="E166" s="330"/>
      <c r="F166" s="330"/>
      <c r="G166" s="330"/>
      <c r="H166" s="330"/>
      <c r="I166" s="330"/>
      <c r="J166" s="330"/>
      <c r="K166" s="330"/>
      <c r="L166" s="329"/>
      <c r="M166" s="326"/>
      <c r="N166" s="327"/>
      <c r="O166" s="327"/>
    </row>
    <row r="167" spans="1:15" x14ac:dyDescent="0.2">
      <c r="A167" s="329"/>
      <c r="B167" s="329"/>
      <c r="C167" s="330"/>
      <c r="D167" s="330"/>
      <c r="E167" s="330"/>
      <c r="F167" s="330"/>
      <c r="G167" s="330"/>
      <c r="H167" s="330"/>
      <c r="I167" s="330"/>
      <c r="J167" s="330"/>
      <c r="K167" s="330"/>
      <c r="L167" s="329"/>
      <c r="M167" s="326"/>
      <c r="N167" s="327"/>
      <c r="O167" s="327"/>
    </row>
    <row r="168" spans="1:15" x14ac:dyDescent="0.2">
      <c r="A168" s="329"/>
      <c r="B168" s="329"/>
      <c r="C168" s="330"/>
      <c r="D168" s="330"/>
      <c r="E168" s="330"/>
      <c r="F168" s="330"/>
      <c r="G168" s="330"/>
      <c r="H168" s="330"/>
      <c r="I168" s="330"/>
      <c r="J168" s="330"/>
      <c r="K168" s="330"/>
      <c r="L168" s="329"/>
      <c r="M168" s="326"/>
      <c r="N168" s="327"/>
      <c r="O168" s="327"/>
    </row>
    <row r="169" spans="1:15" x14ac:dyDescent="0.2">
      <c r="A169" s="329"/>
      <c r="B169" s="329"/>
      <c r="C169" s="330"/>
      <c r="D169" s="330"/>
      <c r="E169" s="330"/>
      <c r="F169" s="330"/>
      <c r="G169" s="330"/>
      <c r="H169" s="330"/>
      <c r="I169" s="330"/>
      <c r="J169" s="330"/>
      <c r="K169" s="330"/>
      <c r="L169" s="329"/>
      <c r="M169" s="326"/>
      <c r="N169" s="327"/>
      <c r="O169" s="327"/>
    </row>
    <row r="170" spans="1:15" x14ac:dyDescent="0.2">
      <c r="A170" s="329"/>
      <c r="B170" s="329"/>
      <c r="C170" s="330"/>
      <c r="D170" s="330"/>
      <c r="E170" s="330"/>
      <c r="F170" s="330"/>
      <c r="G170" s="330"/>
      <c r="H170" s="330"/>
      <c r="I170" s="330"/>
      <c r="J170" s="330"/>
      <c r="K170" s="330"/>
      <c r="L170" s="329"/>
      <c r="M170" s="326"/>
      <c r="N170" s="327"/>
      <c r="O170" s="327"/>
    </row>
    <row r="171" spans="1:15" x14ac:dyDescent="0.2">
      <c r="A171" s="329"/>
      <c r="B171" s="329"/>
      <c r="C171" s="330"/>
      <c r="D171" s="330"/>
      <c r="E171" s="330"/>
      <c r="F171" s="330"/>
      <c r="G171" s="330"/>
      <c r="H171" s="330"/>
      <c r="I171" s="330"/>
      <c r="J171" s="330"/>
      <c r="K171" s="330"/>
      <c r="L171" s="329"/>
      <c r="M171" s="326"/>
      <c r="N171" s="327"/>
      <c r="O171" s="327"/>
    </row>
    <row r="172" spans="1:15" x14ac:dyDescent="0.2">
      <c r="A172" s="329"/>
      <c r="B172" s="329"/>
      <c r="C172" s="330"/>
      <c r="D172" s="330"/>
      <c r="E172" s="330"/>
      <c r="F172" s="330"/>
      <c r="G172" s="330"/>
      <c r="H172" s="330"/>
      <c r="I172" s="330"/>
      <c r="J172" s="330"/>
      <c r="K172" s="330"/>
      <c r="L172" s="329"/>
      <c r="M172" s="326"/>
      <c r="N172" s="327"/>
      <c r="O172" s="327"/>
    </row>
    <row r="173" spans="1:15" x14ac:dyDescent="0.2">
      <c r="A173" s="329"/>
      <c r="B173" s="329"/>
      <c r="C173" s="330"/>
      <c r="D173" s="330"/>
      <c r="E173" s="330"/>
      <c r="F173" s="330"/>
      <c r="G173" s="330"/>
      <c r="H173" s="330"/>
      <c r="I173" s="330"/>
      <c r="J173" s="330"/>
      <c r="K173" s="330"/>
      <c r="L173" s="329"/>
      <c r="M173" s="326"/>
      <c r="N173" s="327"/>
      <c r="O173" s="327"/>
    </row>
    <row r="174" spans="1:15" x14ac:dyDescent="0.2">
      <c r="A174" s="329"/>
      <c r="B174" s="329"/>
      <c r="C174" s="330"/>
      <c r="D174" s="330"/>
      <c r="E174" s="330"/>
      <c r="F174" s="330"/>
      <c r="G174" s="330"/>
      <c r="H174" s="330"/>
      <c r="I174" s="330"/>
      <c r="J174" s="330"/>
      <c r="K174" s="330"/>
      <c r="L174" s="329"/>
      <c r="M174" s="326"/>
      <c r="N174" s="327"/>
      <c r="O174" s="327"/>
    </row>
    <row r="175" spans="1:15" x14ac:dyDescent="0.2">
      <c r="A175" s="329"/>
      <c r="B175" s="329"/>
      <c r="C175" s="330"/>
      <c r="D175" s="330"/>
      <c r="E175" s="330"/>
      <c r="F175" s="330"/>
      <c r="G175" s="330"/>
      <c r="H175" s="330"/>
      <c r="I175" s="330"/>
      <c r="J175" s="330"/>
      <c r="K175" s="330"/>
      <c r="L175" s="329"/>
      <c r="M175" s="326"/>
      <c r="N175" s="327"/>
      <c r="O175" s="327"/>
    </row>
    <row r="176" spans="1:15" x14ac:dyDescent="0.2">
      <c r="A176" s="329"/>
      <c r="B176" s="329"/>
      <c r="C176" s="330"/>
      <c r="D176" s="330"/>
      <c r="E176" s="330"/>
      <c r="F176" s="330"/>
      <c r="G176" s="330"/>
      <c r="H176" s="330"/>
      <c r="I176" s="330"/>
      <c r="J176" s="330"/>
      <c r="K176" s="330"/>
      <c r="L176" s="329"/>
      <c r="M176" s="326"/>
      <c r="N176" s="327"/>
      <c r="O176" s="327"/>
    </row>
    <row r="177" spans="1:15" x14ac:dyDescent="0.2">
      <c r="A177" s="329"/>
      <c r="B177" s="329"/>
      <c r="C177" s="330"/>
      <c r="D177" s="330"/>
      <c r="E177" s="330"/>
      <c r="F177" s="330"/>
      <c r="G177" s="330"/>
      <c r="H177" s="330"/>
      <c r="I177" s="330"/>
      <c r="J177" s="330"/>
      <c r="K177" s="330"/>
      <c r="L177" s="329"/>
      <c r="M177" s="326"/>
      <c r="N177" s="327"/>
      <c r="O177" s="327"/>
    </row>
    <row r="178" spans="1:15" x14ac:dyDescent="0.2">
      <c r="A178" s="329"/>
      <c r="B178" s="329"/>
      <c r="C178" s="330"/>
      <c r="D178" s="330"/>
      <c r="E178" s="330"/>
      <c r="F178" s="330"/>
      <c r="G178" s="330"/>
      <c r="H178" s="330"/>
      <c r="I178" s="330"/>
      <c r="J178" s="330"/>
      <c r="K178" s="330"/>
      <c r="L178" s="329"/>
      <c r="M178" s="326"/>
      <c r="N178" s="327"/>
      <c r="O178" s="327"/>
    </row>
    <row r="179" spans="1:15" x14ac:dyDescent="0.2">
      <c r="A179" s="329"/>
      <c r="B179" s="329"/>
      <c r="C179" s="330"/>
      <c r="D179" s="330"/>
      <c r="E179" s="330"/>
      <c r="F179" s="330"/>
      <c r="G179" s="330"/>
      <c r="H179" s="330"/>
      <c r="I179" s="330"/>
      <c r="J179" s="330"/>
      <c r="K179" s="330"/>
      <c r="L179" s="329"/>
      <c r="M179" s="326"/>
      <c r="N179" s="327"/>
      <c r="O179" s="327"/>
    </row>
    <row r="180" spans="1:15" x14ac:dyDescent="0.2">
      <c r="A180" s="329"/>
      <c r="B180" s="329"/>
      <c r="C180" s="330"/>
      <c r="D180" s="330"/>
      <c r="E180" s="330"/>
      <c r="F180" s="330"/>
      <c r="G180" s="330"/>
      <c r="H180" s="330"/>
      <c r="I180" s="330"/>
      <c r="J180" s="330"/>
      <c r="K180" s="330"/>
      <c r="L180" s="329"/>
      <c r="M180" s="326"/>
      <c r="N180" s="327"/>
      <c r="O180" s="327"/>
    </row>
    <row r="181" spans="1:15" x14ac:dyDescent="0.2">
      <c r="A181" s="329"/>
      <c r="B181" s="329"/>
      <c r="C181" s="330"/>
      <c r="D181" s="330"/>
      <c r="E181" s="330"/>
      <c r="F181" s="330"/>
      <c r="G181" s="330"/>
      <c r="H181" s="330"/>
      <c r="I181" s="330"/>
      <c r="J181" s="330"/>
      <c r="K181" s="330"/>
      <c r="L181" s="329"/>
      <c r="M181" s="326"/>
      <c r="N181" s="327"/>
      <c r="O181" s="327"/>
    </row>
    <row r="182" spans="1:15" x14ac:dyDescent="0.2">
      <c r="A182" s="329"/>
      <c r="B182" s="329"/>
      <c r="C182" s="330"/>
      <c r="D182" s="330"/>
      <c r="E182" s="330"/>
      <c r="F182" s="330"/>
      <c r="G182" s="330"/>
      <c r="H182" s="330"/>
      <c r="I182" s="330"/>
      <c r="J182" s="330"/>
      <c r="K182" s="330"/>
      <c r="L182" s="329"/>
      <c r="M182" s="326"/>
      <c r="N182" s="327"/>
      <c r="O182" s="327"/>
    </row>
    <row r="183" spans="1:15" x14ac:dyDescent="0.2">
      <c r="A183" s="329"/>
      <c r="B183" s="329"/>
      <c r="C183" s="330"/>
      <c r="D183" s="330"/>
      <c r="E183" s="330"/>
      <c r="F183" s="330"/>
      <c r="G183" s="330"/>
      <c r="H183" s="330"/>
      <c r="I183" s="330"/>
      <c r="J183" s="330"/>
      <c r="K183" s="330"/>
      <c r="L183" s="329"/>
      <c r="M183" s="326"/>
      <c r="N183" s="327"/>
      <c r="O183" s="327"/>
    </row>
    <row r="184" spans="1:15" x14ac:dyDescent="0.2">
      <c r="A184" s="329"/>
      <c r="B184" s="329"/>
      <c r="C184" s="330"/>
      <c r="D184" s="330"/>
      <c r="E184" s="330"/>
      <c r="F184" s="330"/>
      <c r="G184" s="330"/>
      <c r="H184" s="330"/>
      <c r="I184" s="330"/>
      <c r="J184" s="330"/>
      <c r="K184" s="330"/>
      <c r="L184" s="329"/>
      <c r="M184" s="326"/>
      <c r="N184" s="327"/>
      <c r="O184" s="327"/>
    </row>
    <row r="185" spans="1:15" x14ac:dyDescent="0.2">
      <c r="A185" s="329"/>
      <c r="B185" s="329"/>
      <c r="C185" s="330"/>
      <c r="D185" s="330"/>
      <c r="E185" s="330"/>
      <c r="F185" s="330"/>
      <c r="G185" s="330"/>
      <c r="H185" s="330"/>
      <c r="I185" s="330"/>
      <c r="J185" s="330"/>
      <c r="K185" s="330"/>
      <c r="L185" s="329"/>
      <c r="M185" s="326"/>
      <c r="N185" s="327"/>
      <c r="O185" s="327"/>
    </row>
    <row r="186" spans="1:15" x14ac:dyDescent="0.2">
      <c r="A186" s="329"/>
      <c r="B186" s="329"/>
      <c r="C186" s="330"/>
      <c r="D186" s="330"/>
      <c r="E186" s="330"/>
      <c r="F186" s="330"/>
      <c r="G186" s="330"/>
      <c r="H186" s="330"/>
      <c r="I186" s="330"/>
      <c r="J186" s="330"/>
      <c r="K186" s="330"/>
      <c r="L186" s="329"/>
      <c r="M186" s="326"/>
      <c r="N186" s="327"/>
      <c r="O186" s="327"/>
    </row>
    <row r="187" spans="1:15" x14ac:dyDescent="0.2">
      <c r="A187" s="329"/>
      <c r="B187" s="329"/>
      <c r="C187" s="330"/>
      <c r="D187" s="330"/>
      <c r="E187" s="330"/>
      <c r="F187" s="330"/>
      <c r="G187" s="330"/>
      <c r="H187" s="330"/>
      <c r="I187" s="330"/>
      <c r="J187" s="330"/>
      <c r="K187" s="330"/>
      <c r="L187" s="329"/>
      <c r="M187" s="326"/>
      <c r="N187" s="327"/>
      <c r="O187" s="327"/>
    </row>
    <row r="188" spans="1:15" x14ac:dyDescent="0.2">
      <c r="A188" s="329"/>
      <c r="B188" s="329"/>
      <c r="C188" s="330"/>
      <c r="D188" s="330"/>
      <c r="E188" s="330"/>
      <c r="F188" s="330"/>
      <c r="G188" s="330"/>
      <c r="H188" s="330"/>
      <c r="I188" s="330"/>
      <c r="J188" s="330"/>
      <c r="K188" s="330"/>
      <c r="L188" s="329"/>
      <c r="M188" s="326"/>
      <c r="N188" s="327"/>
      <c r="O188" s="327"/>
    </row>
    <row r="189" spans="1:15" x14ac:dyDescent="0.2">
      <c r="A189" s="329"/>
      <c r="B189" s="329"/>
      <c r="C189" s="330"/>
      <c r="D189" s="330"/>
      <c r="E189" s="330"/>
      <c r="F189" s="330"/>
      <c r="G189" s="330"/>
      <c r="H189" s="330"/>
      <c r="I189" s="330"/>
      <c r="J189" s="330"/>
      <c r="K189" s="330"/>
      <c r="L189" s="329"/>
      <c r="M189" s="326"/>
      <c r="N189" s="327"/>
      <c r="O189" s="327"/>
    </row>
    <row r="190" spans="1:15" x14ac:dyDescent="0.2">
      <c r="A190" s="329"/>
      <c r="B190" s="329"/>
      <c r="C190" s="330"/>
      <c r="D190" s="330"/>
      <c r="E190" s="330"/>
      <c r="F190" s="330"/>
      <c r="G190" s="330"/>
      <c r="H190" s="330"/>
      <c r="I190" s="330"/>
      <c r="J190" s="330"/>
      <c r="K190" s="330"/>
      <c r="L190" s="329"/>
      <c r="M190" s="326"/>
      <c r="N190" s="327"/>
      <c r="O190" s="327"/>
    </row>
    <row r="191" spans="1:15" x14ac:dyDescent="0.2">
      <c r="A191" s="329"/>
      <c r="B191" s="329"/>
      <c r="C191" s="330"/>
      <c r="D191" s="330"/>
      <c r="E191" s="330"/>
      <c r="F191" s="330"/>
      <c r="G191" s="330"/>
      <c r="H191" s="330"/>
      <c r="I191" s="330"/>
      <c r="J191" s="330"/>
      <c r="K191" s="330"/>
      <c r="L191" s="329"/>
      <c r="M191" s="326"/>
      <c r="N191" s="327"/>
      <c r="O191" s="327"/>
    </row>
    <row r="192" spans="1:15" x14ac:dyDescent="0.2">
      <c r="A192" s="329"/>
      <c r="B192" s="329"/>
      <c r="C192" s="330"/>
      <c r="D192" s="330"/>
      <c r="E192" s="330"/>
      <c r="F192" s="330"/>
      <c r="G192" s="330"/>
      <c r="H192" s="330"/>
      <c r="I192" s="330"/>
      <c r="J192" s="330"/>
      <c r="K192" s="330"/>
      <c r="L192" s="329"/>
      <c r="M192" s="326"/>
      <c r="N192" s="327"/>
      <c r="O192" s="327"/>
    </row>
    <row r="193" spans="1:15" x14ac:dyDescent="0.2">
      <c r="A193" s="329"/>
      <c r="B193" s="329"/>
      <c r="C193" s="330"/>
      <c r="D193" s="330"/>
      <c r="E193" s="330"/>
      <c r="F193" s="330"/>
      <c r="G193" s="330"/>
      <c r="H193" s="330"/>
      <c r="I193" s="330"/>
      <c r="J193" s="330"/>
      <c r="K193" s="330"/>
      <c r="L193" s="329"/>
      <c r="M193" s="326"/>
      <c r="N193" s="327"/>
      <c r="O193" s="327"/>
    </row>
    <row r="194" spans="1:15" x14ac:dyDescent="0.2">
      <c r="A194" s="329"/>
      <c r="B194" s="329"/>
      <c r="C194" s="330"/>
      <c r="D194" s="330"/>
      <c r="E194" s="330"/>
      <c r="F194" s="330"/>
      <c r="G194" s="330"/>
      <c r="H194" s="330"/>
      <c r="I194" s="330"/>
      <c r="J194" s="330"/>
      <c r="K194" s="330"/>
      <c r="L194" s="329"/>
      <c r="M194" s="326"/>
      <c r="N194" s="327"/>
      <c r="O194" s="327"/>
    </row>
    <row r="195" spans="1:15" x14ac:dyDescent="0.2">
      <c r="A195" s="329"/>
      <c r="B195" s="329"/>
      <c r="C195" s="330"/>
      <c r="D195" s="330"/>
      <c r="E195" s="330"/>
      <c r="F195" s="330"/>
      <c r="G195" s="330"/>
      <c r="H195" s="330"/>
      <c r="I195" s="330"/>
      <c r="J195" s="330"/>
      <c r="K195" s="330"/>
      <c r="L195" s="329"/>
      <c r="M195" s="326"/>
      <c r="N195" s="327"/>
      <c r="O195" s="327"/>
    </row>
    <row r="196" spans="1:15" x14ac:dyDescent="0.2">
      <c r="A196" s="329"/>
      <c r="B196" s="329"/>
      <c r="C196" s="330"/>
      <c r="D196" s="330"/>
      <c r="E196" s="330"/>
      <c r="F196" s="330"/>
      <c r="G196" s="330"/>
      <c r="H196" s="330"/>
      <c r="I196" s="330"/>
      <c r="J196" s="330"/>
      <c r="K196" s="330"/>
      <c r="L196" s="329"/>
      <c r="M196" s="326"/>
      <c r="N196" s="327"/>
      <c r="O196" s="327"/>
    </row>
    <row r="197" spans="1:15" x14ac:dyDescent="0.2">
      <c r="A197" s="329"/>
      <c r="B197" s="329"/>
      <c r="C197" s="330"/>
      <c r="D197" s="330"/>
      <c r="E197" s="330"/>
      <c r="F197" s="330"/>
      <c r="G197" s="330"/>
      <c r="H197" s="330"/>
      <c r="I197" s="330"/>
      <c r="J197" s="330"/>
      <c r="K197" s="330"/>
      <c r="L197" s="329"/>
      <c r="M197" s="326"/>
      <c r="N197" s="327"/>
      <c r="O197" s="327"/>
    </row>
    <row r="198" spans="1:15" x14ac:dyDescent="0.2">
      <c r="A198" s="329"/>
      <c r="B198" s="329"/>
      <c r="C198" s="330"/>
      <c r="D198" s="330"/>
      <c r="E198" s="330"/>
      <c r="F198" s="330"/>
      <c r="G198" s="330"/>
      <c r="H198" s="330"/>
      <c r="I198" s="330"/>
      <c r="J198" s="330"/>
      <c r="K198" s="330"/>
      <c r="L198" s="329"/>
      <c r="M198" s="326"/>
      <c r="N198" s="327"/>
      <c r="O198" s="327"/>
    </row>
    <row r="199" spans="1:15" x14ac:dyDescent="0.2">
      <c r="A199" s="329"/>
      <c r="B199" s="329"/>
      <c r="C199" s="330"/>
      <c r="D199" s="330"/>
      <c r="E199" s="330"/>
      <c r="F199" s="330"/>
      <c r="G199" s="330"/>
      <c r="H199" s="330"/>
      <c r="I199" s="330"/>
      <c r="J199" s="330"/>
      <c r="K199" s="330"/>
      <c r="L199" s="329"/>
      <c r="M199" s="326"/>
      <c r="N199" s="327"/>
      <c r="O199" s="327"/>
    </row>
    <row r="200" spans="1:15" x14ac:dyDescent="0.2">
      <c r="A200" s="329"/>
      <c r="B200" s="329"/>
      <c r="C200" s="330"/>
      <c r="D200" s="330"/>
      <c r="E200" s="330"/>
      <c r="F200" s="330"/>
      <c r="G200" s="330"/>
      <c r="H200" s="330"/>
      <c r="I200" s="330"/>
      <c r="J200" s="330"/>
      <c r="K200" s="330"/>
      <c r="L200" s="329"/>
      <c r="M200" s="326"/>
      <c r="N200" s="327"/>
      <c r="O200" s="327"/>
    </row>
    <row r="201" spans="1:15" x14ac:dyDescent="0.2">
      <c r="A201" s="329"/>
      <c r="B201" s="329"/>
      <c r="C201" s="330"/>
      <c r="D201" s="330"/>
      <c r="E201" s="330"/>
      <c r="F201" s="330"/>
      <c r="G201" s="330"/>
      <c r="H201" s="330"/>
      <c r="I201" s="330"/>
      <c r="J201" s="330"/>
      <c r="K201" s="330"/>
      <c r="L201" s="329"/>
      <c r="M201" s="326"/>
      <c r="N201" s="327"/>
      <c r="O201" s="327"/>
    </row>
    <row r="202" spans="1:15" x14ac:dyDescent="0.2">
      <c r="A202" s="329"/>
      <c r="B202" s="329"/>
      <c r="C202" s="330"/>
      <c r="D202" s="330"/>
      <c r="E202" s="330"/>
      <c r="F202" s="330"/>
      <c r="G202" s="330"/>
      <c r="H202" s="330"/>
      <c r="I202" s="330"/>
      <c r="J202" s="330"/>
      <c r="K202" s="330"/>
      <c r="L202" s="329"/>
      <c r="M202" s="326"/>
      <c r="N202" s="327"/>
      <c r="O202" s="327"/>
    </row>
    <row r="203" spans="1:15" x14ac:dyDescent="0.2">
      <c r="A203" s="329"/>
      <c r="B203" s="329"/>
      <c r="C203" s="330"/>
      <c r="D203" s="330"/>
      <c r="E203" s="330"/>
      <c r="F203" s="330"/>
      <c r="G203" s="330"/>
      <c r="H203" s="330"/>
      <c r="I203" s="330"/>
      <c r="J203" s="330"/>
      <c r="K203" s="330"/>
      <c r="L203" s="329"/>
      <c r="M203" s="326"/>
      <c r="N203" s="327"/>
      <c r="O203" s="327"/>
    </row>
    <row r="204" spans="1:15" x14ac:dyDescent="0.2">
      <c r="A204" s="329"/>
      <c r="B204" s="329"/>
      <c r="C204" s="330"/>
      <c r="D204" s="330"/>
      <c r="E204" s="330"/>
      <c r="F204" s="330"/>
      <c r="G204" s="330"/>
      <c r="H204" s="330"/>
      <c r="I204" s="330"/>
      <c r="J204" s="330"/>
      <c r="K204" s="330"/>
      <c r="L204" s="329"/>
      <c r="M204" s="326"/>
      <c r="N204" s="327"/>
      <c r="O204" s="327"/>
    </row>
    <row r="205" spans="1:15" x14ac:dyDescent="0.2">
      <c r="A205" s="329"/>
      <c r="B205" s="329"/>
      <c r="C205" s="330"/>
      <c r="D205" s="330"/>
      <c r="E205" s="330"/>
      <c r="F205" s="330"/>
      <c r="G205" s="330"/>
      <c r="H205" s="330"/>
      <c r="I205" s="330"/>
      <c r="J205" s="330"/>
      <c r="K205" s="330"/>
      <c r="L205" s="329"/>
      <c r="M205" s="326"/>
      <c r="N205" s="327"/>
      <c r="O205" s="327"/>
    </row>
    <row r="206" spans="1:15" x14ac:dyDescent="0.2">
      <c r="A206" s="329"/>
      <c r="B206" s="329"/>
      <c r="C206" s="330"/>
      <c r="D206" s="330"/>
      <c r="E206" s="330"/>
      <c r="F206" s="330"/>
      <c r="G206" s="330"/>
      <c r="H206" s="330"/>
      <c r="I206" s="330"/>
      <c r="J206" s="330"/>
      <c r="K206" s="330"/>
      <c r="L206" s="329"/>
      <c r="M206" s="326"/>
      <c r="N206" s="327"/>
      <c r="O206" s="327"/>
    </row>
    <row r="207" spans="1:15" x14ac:dyDescent="0.2">
      <c r="A207" s="329"/>
      <c r="B207" s="329"/>
      <c r="C207" s="330"/>
      <c r="D207" s="330"/>
      <c r="E207" s="330"/>
      <c r="F207" s="330"/>
      <c r="G207" s="330"/>
      <c r="H207" s="330"/>
      <c r="I207" s="330"/>
      <c r="J207" s="330"/>
      <c r="K207" s="330"/>
      <c r="L207" s="329"/>
      <c r="M207" s="326"/>
      <c r="N207" s="327"/>
      <c r="O207" s="327"/>
    </row>
    <row r="208" spans="1:15" x14ac:dyDescent="0.2">
      <c r="A208" s="329"/>
      <c r="B208" s="329"/>
      <c r="C208" s="330"/>
      <c r="D208" s="330"/>
      <c r="E208" s="330"/>
      <c r="F208" s="330"/>
      <c r="G208" s="330"/>
      <c r="H208" s="330"/>
      <c r="I208" s="330"/>
      <c r="J208" s="330"/>
      <c r="K208" s="330"/>
      <c r="L208" s="329"/>
      <c r="M208" s="326"/>
      <c r="N208" s="327"/>
      <c r="O208" s="327"/>
    </row>
    <row r="209" spans="1:15" x14ac:dyDescent="0.2">
      <c r="A209" s="329"/>
      <c r="B209" s="329"/>
      <c r="C209" s="330"/>
      <c r="D209" s="330"/>
      <c r="E209" s="330"/>
      <c r="F209" s="330"/>
      <c r="G209" s="330"/>
      <c r="H209" s="330"/>
      <c r="I209" s="330"/>
      <c r="J209" s="330"/>
      <c r="K209" s="330"/>
      <c r="L209" s="329"/>
      <c r="M209" s="326"/>
      <c r="N209" s="327"/>
      <c r="O209" s="327"/>
    </row>
    <row r="210" spans="1:15" x14ac:dyDescent="0.2">
      <c r="A210" s="329"/>
      <c r="B210" s="329"/>
      <c r="C210" s="330"/>
      <c r="D210" s="330"/>
      <c r="E210" s="330"/>
      <c r="F210" s="330"/>
      <c r="G210" s="330"/>
      <c r="H210" s="330"/>
      <c r="I210" s="330"/>
      <c r="J210" s="330"/>
      <c r="K210" s="330"/>
      <c r="L210" s="329"/>
      <c r="M210" s="326"/>
      <c r="N210" s="327"/>
      <c r="O210" s="327"/>
    </row>
    <row r="211" spans="1:15" x14ac:dyDescent="0.2">
      <c r="A211" s="329"/>
      <c r="B211" s="329"/>
      <c r="C211" s="330"/>
      <c r="D211" s="330"/>
      <c r="E211" s="330"/>
      <c r="F211" s="330"/>
      <c r="G211" s="330"/>
      <c r="H211" s="330"/>
      <c r="I211" s="330"/>
      <c r="J211" s="330"/>
      <c r="K211" s="330"/>
      <c r="L211" s="329"/>
      <c r="M211" s="326"/>
      <c r="N211" s="327"/>
      <c r="O211" s="327"/>
    </row>
    <row r="212" spans="1:15" x14ac:dyDescent="0.2">
      <c r="A212" s="329"/>
      <c r="B212" s="329"/>
      <c r="C212" s="330"/>
      <c r="D212" s="330"/>
      <c r="E212" s="330"/>
      <c r="F212" s="330"/>
      <c r="G212" s="330"/>
      <c r="H212" s="330"/>
      <c r="I212" s="330"/>
      <c r="J212" s="330"/>
      <c r="K212" s="330"/>
      <c r="L212" s="329"/>
      <c r="M212" s="326"/>
      <c r="N212" s="327"/>
      <c r="O212" s="327"/>
    </row>
    <row r="213" spans="1:15" x14ac:dyDescent="0.2">
      <c r="A213" s="329"/>
      <c r="B213" s="329"/>
      <c r="C213" s="330"/>
      <c r="D213" s="330"/>
      <c r="E213" s="330"/>
      <c r="F213" s="330"/>
      <c r="G213" s="330"/>
      <c r="H213" s="330"/>
      <c r="I213" s="330"/>
      <c r="J213" s="330"/>
      <c r="K213" s="330"/>
      <c r="L213" s="329"/>
      <c r="M213" s="326"/>
      <c r="N213" s="327"/>
      <c r="O213" s="327"/>
    </row>
    <row r="214" spans="1:15" x14ac:dyDescent="0.2">
      <c r="A214" s="329"/>
      <c r="B214" s="329"/>
      <c r="C214" s="330"/>
      <c r="D214" s="330"/>
      <c r="E214" s="330"/>
      <c r="F214" s="330"/>
      <c r="G214" s="330"/>
      <c r="H214" s="330"/>
      <c r="I214" s="330"/>
      <c r="J214" s="330"/>
      <c r="K214" s="330"/>
      <c r="L214" s="329"/>
      <c r="M214" s="326"/>
      <c r="N214" s="327"/>
      <c r="O214" s="327"/>
    </row>
    <row r="215" spans="1:15" x14ac:dyDescent="0.2">
      <c r="A215" s="329"/>
      <c r="B215" s="329"/>
      <c r="C215" s="330"/>
      <c r="D215" s="330"/>
      <c r="E215" s="330"/>
      <c r="F215" s="330"/>
      <c r="G215" s="330"/>
      <c r="H215" s="330"/>
      <c r="I215" s="330"/>
      <c r="J215" s="330"/>
      <c r="K215" s="330"/>
      <c r="L215" s="329"/>
      <c r="M215" s="326"/>
      <c r="N215" s="327"/>
      <c r="O215" s="327"/>
    </row>
    <row r="216" spans="1:15" x14ac:dyDescent="0.2">
      <c r="A216" s="329"/>
      <c r="B216" s="329"/>
      <c r="C216" s="330"/>
      <c r="D216" s="330"/>
      <c r="E216" s="330"/>
      <c r="F216" s="330"/>
      <c r="G216" s="330"/>
      <c r="H216" s="330"/>
      <c r="I216" s="330"/>
      <c r="J216" s="330"/>
      <c r="K216" s="330"/>
      <c r="L216" s="329"/>
      <c r="M216" s="326"/>
      <c r="N216" s="327"/>
      <c r="O216" s="327"/>
    </row>
    <row r="217" spans="1:15" x14ac:dyDescent="0.2">
      <c r="A217" s="329"/>
      <c r="B217" s="329"/>
      <c r="C217" s="330"/>
      <c r="D217" s="330"/>
      <c r="E217" s="330"/>
      <c r="F217" s="330"/>
      <c r="G217" s="330"/>
      <c r="H217" s="330"/>
      <c r="I217" s="330"/>
      <c r="J217" s="330"/>
      <c r="K217" s="330"/>
      <c r="L217" s="329"/>
      <c r="M217" s="326"/>
      <c r="N217" s="327"/>
      <c r="O217" s="327"/>
    </row>
    <row r="218" spans="1:15" x14ac:dyDescent="0.2">
      <c r="A218" s="329"/>
      <c r="B218" s="329"/>
      <c r="C218" s="330"/>
      <c r="D218" s="330"/>
      <c r="E218" s="330"/>
      <c r="F218" s="330"/>
      <c r="G218" s="330"/>
      <c r="H218" s="330"/>
      <c r="I218" s="330"/>
      <c r="J218" s="330"/>
      <c r="K218" s="330"/>
      <c r="L218" s="329"/>
      <c r="M218" s="326"/>
      <c r="N218" s="327"/>
      <c r="O218" s="327"/>
    </row>
    <row r="219" spans="1:15" x14ac:dyDescent="0.2">
      <c r="A219" s="329"/>
      <c r="B219" s="329"/>
      <c r="C219" s="330"/>
      <c r="D219" s="330"/>
      <c r="E219" s="330"/>
      <c r="F219" s="330"/>
      <c r="G219" s="330"/>
      <c r="H219" s="330"/>
      <c r="I219" s="330"/>
      <c r="J219" s="330"/>
      <c r="K219" s="330"/>
      <c r="L219" s="329"/>
      <c r="M219" s="326"/>
      <c r="N219" s="327"/>
      <c r="O219" s="327"/>
    </row>
    <row r="220" spans="1:15" x14ac:dyDescent="0.2">
      <c r="A220" s="329"/>
      <c r="B220" s="329"/>
      <c r="C220" s="330"/>
      <c r="D220" s="330"/>
      <c r="E220" s="330"/>
      <c r="F220" s="330"/>
      <c r="G220" s="330"/>
      <c r="H220" s="330"/>
      <c r="I220" s="330"/>
      <c r="J220" s="330"/>
      <c r="K220" s="330"/>
      <c r="L220" s="329"/>
      <c r="M220" s="326"/>
      <c r="N220" s="327"/>
      <c r="O220" s="327"/>
    </row>
    <row r="221" spans="1:15" x14ac:dyDescent="0.2">
      <c r="A221" s="329"/>
      <c r="B221" s="329"/>
      <c r="C221" s="330"/>
      <c r="D221" s="330"/>
      <c r="E221" s="330"/>
      <c r="F221" s="330"/>
      <c r="G221" s="330"/>
      <c r="H221" s="330"/>
      <c r="I221" s="330"/>
      <c r="J221" s="330"/>
      <c r="K221" s="330"/>
      <c r="L221" s="329"/>
      <c r="M221" s="326"/>
      <c r="N221" s="327"/>
      <c r="O221" s="327"/>
    </row>
    <row r="222" spans="1:15" x14ac:dyDescent="0.2">
      <c r="A222" s="329"/>
      <c r="B222" s="329"/>
      <c r="C222" s="330"/>
      <c r="D222" s="330"/>
      <c r="E222" s="330"/>
      <c r="F222" s="330"/>
      <c r="G222" s="330"/>
      <c r="H222" s="330"/>
      <c r="I222" s="330"/>
      <c r="J222" s="330"/>
      <c r="K222" s="330"/>
      <c r="L222" s="329"/>
      <c r="M222" s="326"/>
      <c r="N222" s="327"/>
      <c r="O222" s="327"/>
    </row>
    <row r="223" spans="1:15" x14ac:dyDescent="0.2">
      <c r="A223" s="329"/>
      <c r="B223" s="329"/>
      <c r="C223" s="330"/>
      <c r="D223" s="330"/>
      <c r="E223" s="330"/>
      <c r="F223" s="330"/>
      <c r="G223" s="330"/>
      <c r="H223" s="330"/>
      <c r="I223" s="330"/>
      <c r="J223" s="330"/>
      <c r="K223" s="330"/>
      <c r="L223" s="329"/>
      <c r="M223" s="326"/>
      <c r="N223" s="327"/>
      <c r="O223" s="327"/>
    </row>
    <row r="224" spans="1:15" x14ac:dyDescent="0.2">
      <c r="A224" s="329"/>
      <c r="B224" s="329"/>
      <c r="C224" s="330"/>
      <c r="D224" s="330"/>
      <c r="E224" s="330"/>
      <c r="F224" s="330"/>
      <c r="G224" s="330"/>
      <c r="H224" s="330"/>
      <c r="I224" s="330"/>
      <c r="J224" s="330"/>
      <c r="K224" s="330"/>
      <c r="L224" s="329"/>
      <c r="M224" s="326"/>
      <c r="N224" s="327"/>
      <c r="O224" s="327"/>
    </row>
    <row r="225" spans="1:15" x14ac:dyDescent="0.2">
      <c r="A225" s="329"/>
      <c r="B225" s="329"/>
      <c r="C225" s="330"/>
      <c r="D225" s="330"/>
      <c r="E225" s="330"/>
      <c r="F225" s="330"/>
      <c r="G225" s="330"/>
      <c r="H225" s="330"/>
      <c r="I225" s="330"/>
      <c r="J225" s="330"/>
      <c r="K225" s="330"/>
      <c r="L225" s="329"/>
      <c r="M225" s="326"/>
      <c r="N225" s="327"/>
      <c r="O225" s="327"/>
    </row>
    <row r="226" spans="1:15" x14ac:dyDescent="0.2">
      <c r="A226" s="329"/>
      <c r="B226" s="329"/>
      <c r="C226" s="330"/>
      <c r="D226" s="330"/>
      <c r="E226" s="330"/>
      <c r="F226" s="330"/>
      <c r="G226" s="330"/>
      <c r="H226" s="330"/>
      <c r="I226" s="330"/>
      <c r="J226" s="330"/>
      <c r="K226" s="330"/>
      <c r="L226" s="329"/>
      <c r="M226" s="326"/>
      <c r="N226" s="327"/>
      <c r="O226" s="327"/>
    </row>
    <row r="227" spans="1:15" x14ac:dyDescent="0.2">
      <c r="A227" s="329"/>
      <c r="B227" s="329"/>
      <c r="C227" s="330"/>
      <c r="D227" s="330"/>
      <c r="E227" s="330"/>
      <c r="F227" s="330"/>
      <c r="G227" s="330"/>
      <c r="H227" s="330"/>
      <c r="I227" s="330"/>
      <c r="J227" s="330"/>
      <c r="K227" s="330"/>
      <c r="L227" s="329"/>
      <c r="M227" s="326"/>
      <c r="N227" s="327"/>
      <c r="O227" s="327"/>
    </row>
    <row r="228" spans="1:15" x14ac:dyDescent="0.2">
      <c r="A228" s="329"/>
      <c r="B228" s="329"/>
      <c r="C228" s="330"/>
      <c r="D228" s="330"/>
      <c r="E228" s="330"/>
      <c r="F228" s="330"/>
      <c r="G228" s="330"/>
      <c r="H228" s="330"/>
      <c r="I228" s="330"/>
      <c r="J228" s="330"/>
      <c r="K228" s="330"/>
      <c r="L228" s="329"/>
      <c r="M228" s="326"/>
      <c r="N228" s="327"/>
      <c r="O228" s="327"/>
    </row>
    <row r="229" spans="1:15" x14ac:dyDescent="0.2">
      <c r="A229" s="329"/>
      <c r="B229" s="329"/>
      <c r="C229" s="330"/>
      <c r="D229" s="330"/>
      <c r="E229" s="330"/>
      <c r="F229" s="330"/>
      <c r="G229" s="330"/>
      <c r="H229" s="330"/>
      <c r="I229" s="330"/>
      <c r="J229" s="330"/>
      <c r="K229" s="330"/>
      <c r="L229" s="329"/>
      <c r="M229" s="326"/>
      <c r="N229" s="327"/>
      <c r="O229" s="327"/>
    </row>
    <row r="230" spans="1:15" x14ac:dyDescent="0.2">
      <c r="A230" s="329"/>
      <c r="B230" s="329"/>
      <c r="C230" s="330"/>
      <c r="D230" s="330"/>
      <c r="E230" s="330"/>
      <c r="F230" s="330"/>
      <c r="G230" s="330"/>
      <c r="H230" s="330"/>
      <c r="I230" s="330"/>
      <c r="J230" s="330"/>
      <c r="K230" s="330"/>
      <c r="L230" s="329"/>
      <c r="M230" s="326"/>
      <c r="N230" s="327"/>
      <c r="O230" s="327"/>
    </row>
    <row r="231" spans="1:15" x14ac:dyDescent="0.2">
      <c r="A231" s="329"/>
      <c r="B231" s="329"/>
      <c r="C231" s="330"/>
      <c r="D231" s="330"/>
      <c r="E231" s="330"/>
      <c r="F231" s="330"/>
      <c r="G231" s="330"/>
      <c r="H231" s="330"/>
      <c r="I231" s="330"/>
      <c r="J231" s="330"/>
      <c r="K231" s="330"/>
      <c r="L231" s="329"/>
      <c r="M231" s="326"/>
      <c r="N231" s="327"/>
      <c r="O231" s="327"/>
    </row>
    <row r="232" spans="1:15" x14ac:dyDescent="0.2">
      <c r="A232" s="329"/>
      <c r="B232" s="329"/>
      <c r="C232" s="330"/>
      <c r="D232" s="330"/>
      <c r="E232" s="330"/>
      <c r="F232" s="330"/>
      <c r="G232" s="330"/>
      <c r="H232" s="330"/>
      <c r="I232" s="330"/>
      <c r="J232" s="330"/>
      <c r="K232" s="330"/>
      <c r="L232" s="329"/>
      <c r="M232" s="326"/>
      <c r="N232" s="327"/>
      <c r="O232" s="327"/>
    </row>
    <row r="233" spans="1:15" x14ac:dyDescent="0.2">
      <c r="A233" s="329"/>
      <c r="B233" s="329"/>
      <c r="C233" s="330"/>
      <c r="D233" s="330"/>
      <c r="E233" s="330"/>
      <c r="F233" s="330"/>
      <c r="G233" s="330"/>
      <c r="H233" s="330"/>
      <c r="I233" s="330"/>
      <c r="J233" s="330"/>
      <c r="K233" s="330"/>
      <c r="L233" s="329"/>
      <c r="M233" s="326"/>
      <c r="N233" s="327"/>
      <c r="O233" s="327"/>
    </row>
    <row r="234" spans="1:15" x14ac:dyDescent="0.2">
      <c r="A234" s="329"/>
      <c r="B234" s="329"/>
      <c r="C234" s="330"/>
      <c r="D234" s="330"/>
      <c r="E234" s="330"/>
      <c r="F234" s="330"/>
      <c r="G234" s="330"/>
      <c r="H234" s="330"/>
      <c r="I234" s="330"/>
      <c r="J234" s="330"/>
      <c r="K234" s="330"/>
      <c r="L234" s="329"/>
      <c r="M234" s="326"/>
      <c r="N234" s="327"/>
      <c r="O234" s="327"/>
    </row>
    <row r="235" spans="1:15" x14ac:dyDescent="0.2">
      <c r="A235" s="329"/>
      <c r="B235" s="329"/>
      <c r="C235" s="330"/>
      <c r="D235" s="330"/>
      <c r="E235" s="330"/>
      <c r="F235" s="330"/>
      <c r="G235" s="330"/>
      <c r="H235" s="330"/>
      <c r="I235" s="330"/>
      <c r="J235" s="330"/>
      <c r="K235" s="330"/>
      <c r="L235" s="329"/>
      <c r="M235" s="326"/>
      <c r="N235" s="327"/>
      <c r="O235" s="327"/>
    </row>
    <row r="236" spans="1:15" x14ac:dyDescent="0.2">
      <c r="A236" s="329"/>
      <c r="B236" s="329"/>
      <c r="C236" s="330"/>
      <c r="D236" s="330"/>
      <c r="E236" s="330"/>
      <c r="F236" s="330"/>
      <c r="G236" s="330"/>
      <c r="H236" s="330"/>
      <c r="I236" s="330"/>
      <c r="J236" s="330"/>
      <c r="K236" s="330"/>
      <c r="L236" s="329"/>
      <c r="M236" s="326"/>
      <c r="N236" s="327"/>
      <c r="O236" s="327"/>
    </row>
    <row r="237" spans="1:15" x14ac:dyDescent="0.2">
      <c r="A237" s="329"/>
      <c r="B237" s="329"/>
      <c r="C237" s="330"/>
      <c r="D237" s="330"/>
      <c r="E237" s="330"/>
      <c r="F237" s="330"/>
      <c r="G237" s="330"/>
      <c r="H237" s="330"/>
      <c r="I237" s="330"/>
      <c r="J237" s="330"/>
      <c r="K237" s="330"/>
      <c r="L237" s="329"/>
      <c r="M237" s="326"/>
      <c r="N237" s="327"/>
      <c r="O237" s="327"/>
    </row>
    <row r="238" spans="1:15" x14ac:dyDescent="0.2">
      <c r="A238" s="329"/>
      <c r="B238" s="329"/>
      <c r="C238" s="330"/>
      <c r="D238" s="330"/>
      <c r="E238" s="330"/>
      <c r="F238" s="330"/>
      <c r="G238" s="330"/>
      <c r="H238" s="330"/>
      <c r="I238" s="330"/>
      <c r="J238" s="330"/>
      <c r="K238" s="330"/>
      <c r="L238" s="329"/>
      <c r="M238" s="326"/>
      <c r="N238" s="327"/>
      <c r="O238" s="327"/>
    </row>
    <row r="239" spans="1:15" x14ac:dyDescent="0.2">
      <c r="A239" s="329"/>
      <c r="B239" s="329"/>
      <c r="C239" s="330"/>
      <c r="D239" s="330"/>
      <c r="E239" s="330"/>
      <c r="F239" s="330"/>
      <c r="G239" s="330"/>
      <c r="H239" s="330"/>
      <c r="I239" s="330"/>
      <c r="J239" s="330"/>
      <c r="K239" s="330"/>
      <c r="L239" s="329"/>
      <c r="M239" s="326"/>
      <c r="N239" s="327"/>
      <c r="O239" s="327"/>
    </row>
    <row r="240" spans="1:15" x14ac:dyDescent="0.2">
      <c r="A240" s="329"/>
      <c r="B240" s="329"/>
      <c r="C240" s="330"/>
      <c r="D240" s="330"/>
      <c r="E240" s="330"/>
      <c r="F240" s="330"/>
      <c r="G240" s="330"/>
      <c r="H240" s="330"/>
      <c r="I240" s="330"/>
      <c r="J240" s="330"/>
      <c r="K240" s="330"/>
      <c r="L240" s="329"/>
      <c r="M240" s="326"/>
      <c r="N240" s="327"/>
      <c r="O240" s="327"/>
    </row>
    <row r="241" spans="1:15" x14ac:dyDescent="0.2">
      <c r="A241" s="329"/>
      <c r="B241" s="329"/>
      <c r="C241" s="330"/>
      <c r="D241" s="330"/>
      <c r="E241" s="330"/>
      <c r="F241" s="330"/>
      <c r="G241" s="330"/>
      <c r="H241" s="330"/>
      <c r="I241" s="330"/>
      <c r="J241" s="330"/>
      <c r="K241" s="330"/>
      <c r="L241" s="329"/>
      <c r="M241" s="326"/>
      <c r="N241" s="327"/>
      <c r="O241" s="327"/>
    </row>
    <row r="242" spans="1:15" x14ac:dyDescent="0.2">
      <c r="A242" s="329"/>
      <c r="B242" s="329"/>
      <c r="C242" s="330"/>
      <c r="D242" s="330"/>
      <c r="E242" s="330"/>
      <c r="F242" s="330"/>
      <c r="G242" s="330"/>
      <c r="H242" s="330"/>
      <c r="I242" s="330"/>
      <c r="J242" s="330"/>
      <c r="K242" s="330"/>
      <c r="L242" s="329"/>
      <c r="M242" s="326"/>
      <c r="N242" s="327"/>
      <c r="O242" s="327"/>
    </row>
    <row r="243" spans="1:15" x14ac:dyDescent="0.2">
      <c r="A243" s="329"/>
      <c r="B243" s="329"/>
      <c r="C243" s="330"/>
      <c r="D243" s="330"/>
      <c r="E243" s="330"/>
      <c r="F243" s="330"/>
      <c r="G243" s="330"/>
      <c r="H243" s="330"/>
      <c r="I243" s="330"/>
      <c r="J243" s="330"/>
      <c r="K243" s="330"/>
      <c r="L243" s="329"/>
      <c r="M243" s="326"/>
      <c r="N243" s="327"/>
      <c r="O243" s="327"/>
    </row>
    <row r="244" spans="1:15" x14ac:dyDescent="0.2">
      <c r="A244" s="329"/>
      <c r="B244" s="329"/>
      <c r="C244" s="330"/>
      <c r="D244" s="330"/>
      <c r="E244" s="330"/>
      <c r="F244" s="330"/>
      <c r="G244" s="330"/>
      <c r="H244" s="330"/>
      <c r="I244" s="330"/>
      <c r="J244" s="330"/>
      <c r="K244" s="330"/>
      <c r="L244" s="329"/>
      <c r="M244" s="326"/>
      <c r="N244" s="327"/>
      <c r="O244" s="327"/>
    </row>
    <row r="245" spans="1:15" x14ac:dyDescent="0.2">
      <c r="A245" s="329"/>
      <c r="B245" s="329"/>
      <c r="C245" s="330"/>
      <c r="D245" s="330"/>
      <c r="E245" s="330"/>
      <c r="F245" s="330"/>
      <c r="G245" s="330"/>
      <c r="H245" s="330"/>
      <c r="I245" s="330"/>
      <c r="J245" s="330"/>
      <c r="K245" s="330"/>
      <c r="L245" s="329"/>
      <c r="M245" s="326"/>
      <c r="N245" s="327"/>
      <c r="O245" s="327"/>
    </row>
    <row r="246" spans="1:15" x14ac:dyDescent="0.2">
      <c r="A246" s="329"/>
      <c r="B246" s="329"/>
      <c r="C246" s="330"/>
      <c r="D246" s="330"/>
      <c r="E246" s="330"/>
      <c r="F246" s="330"/>
      <c r="G246" s="330"/>
      <c r="H246" s="330"/>
      <c r="I246" s="330"/>
      <c r="J246" s="330"/>
      <c r="K246" s="330"/>
      <c r="L246" s="329"/>
      <c r="M246" s="326"/>
      <c r="N246" s="327"/>
      <c r="O246" s="327"/>
    </row>
    <row r="247" spans="1:15" x14ac:dyDescent="0.2">
      <c r="A247" s="329"/>
      <c r="B247" s="329"/>
      <c r="C247" s="330"/>
      <c r="D247" s="330"/>
      <c r="E247" s="330"/>
      <c r="F247" s="330"/>
      <c r="G247" s="330"/>
      <c r="H247" s="330"/>
      <c r="I247" s="330"/>
      <c r="J247" s="330"/>
      <c r="K247" s="330"/>
      <c r="L247" s="329"/>
      <c r="M247" s="326"/>
      <c r="N247" s="327"/>
      <c r="O247" s="327"/>
    </row>
    <row r="248" spans="1:15" x14ac:dyDescent="0.2">
      <c r="A248" s="329"/>
      <c r="B248" s="329"/>
      <c r="C248" s="330"/>
      <c r="D248" s="330"/>
      <c r="E248" s="330"/>
      <c r="F248" s="330"/>
      <c r="G248" s="330"/>
      <c r="H248" s="330"/>
      <c r="I248" s="330"/>
      <c r="J248" s="330"/>
      <c r="K248" s="330"/>
      <c r="L248" s="329"/>
      <c r="M248" s="326"/>
      <c r="N248" s="327"/>
      <c r="O248" s="327"/>
    </row>
    <row r="249" spans="1:15" x14ac:dyDescent="0.2">
      <c r="A249" s="329"/>
      <c r="B249" s="329"/>
      <c r="C249" s="330"/>
      <c r="D249" s="330"/>
      <c r="E249" s="330"/>
      <c r="F249" s="330"/>
      <c r="G249" s="330"/>
      <c r="H249" s="330"/>
      <c r="I249" s="330"/>
      <c r="J249" s="330"/>
      <c r="K249" s="330"/>
      <c r="L249" s="329"/>
      <c r="M249" s="326"/>
      <c r="N249" s="327"/>
      <c r="O249" s="327"/>
    </row>
    <row r="250" spans="1:15" x14ac:dyDescent="0.2">
      <c r="A250" s="329"/>
      <c r="B250" s="329"/>
      <c r="C250" s="330"/>
      <c r="D250" s="330"/>
      <c r="E250" s="330"/>
      <c r="F250" s="330"/>
      <c r="G250" s="330"/>
      <c r="H250" s="330"/>
      <c r="I250" s="330"/>
      <c r="J250" s="330"/>
      <c r="K250" s="330"/>
      <c r="L250" s="329"/>
      <c r="M250" s="326"/>
      <c r="N250" s="327"/>
      <c r="O250" s="327"/>
    </row>
    <row r="251" spans="1:15" x14ac:dyDescent="0.2">
      <c r="A251" s="329"/>
      <c r="B251" s="329"/>
      <c r="C251" s="330"/>
      <c r="D251" s="330"/>
      <c r="E251" s="330"/>
      <c r="F251" s="330"/>
      <c r="G251" s="330"/>
      <c r="H251" s="330"/>
      <c r="I251" s="330"/>
      <c r="J251" s="330"/>
      <c r="K251" s="330"/>
      <c r="L251" s="329"/>
      <c r="M251" s="326"/>
      <c r="N251" s="327"/>
      <c r="O251" s="327"/>
    </row>
    <row r="252" spans="1:15" x14ac:dyDescent="0.2">
      <c r="A252" s="329"/>
      <c r="B252" s="329"/>
      <c r="C252" s="330"/>
      <c r="D252" s="330"/>
      <c r="E252" s="330"/>
      <c r="F252" s="330"/>
      <c r="G252" s="330"/>
      <c r="H252" s="330"/>
      <c r="I252" s="330"/>
      <c r="J252" s="330"/>
      <c r="K252" s="330"/>
      <c r="L252" s="329"/>
      <c r="M252" s="326"/>
      <c r="N252" s="327"/>
      <c r="O252" s="327"/>
    </row>
    <row r="253" spans="1:15" x14ac:dyDescent="0.2">
      <c r="A253" s="329"/>
      <c r="B253" s="329"/>
      <c r="C253" s="330"/>
      <c r="D253" s="330"/>
      <c r="E253" s="330"/>
      <c r="F253" s="330"/>
      <c r="G253" s="330"/>
      <c r="H253" s="330"/>
      <c r="I253" s="330"/>
      <c r="J253" s="330"/>
      <c r="K253" s="330"/>
      <c r="L253" s="329"/>
      <c r="M253" s="326"/>
      <c r="N253" s="327"/>
      <c r="O253" s="327"/>
    </row>
    <row r="254" spans="1:15" x14ac:dyDescent="0.2">
      <c r="A254" s="329"/>
      <c r="B254" s="329"/>
      <c r="C254" s="330"/>
      <c r="D254" s="330"/>
      <c r="E254" s="330"/>
      <c r="F254" s="330"/>
      <c r="G254" s="330"/>
      <c r="H254" s="330"/>
      <c r="I254" s="330"/>
      <c r="J254" s="330"/>
      <c r="K254" s="330"/>
      <c r="L254" s="329"/>
      <c r="M254" s="326"/>
      <c r="N254" s="327"/>
      <c r="O254" s="327"/>
    </row>
    <row r="255" spans="1:15" x14ac:dyDescent="0.2">
      <c r="A255" s="329"/>
      <c r="B255" s="329"/>
      <c r="C255" s="330"/>
      <c r="D255" s="330"/>
      <c r="E255" s="330"/>
      <c r="F255" s="330"/>
      <c r="G255" s="330"/>
      <c r="H255" s="330"/>
      <c r="I255" s="330"/>
      <c r="J255" s="330"/>
      <c r="K255" s="330"/>
      <c r="L255" s="329"/>
      <c r="M255" s="326"/>
      <c r="N255" s="327"/>
      <c r="O255" s="327"/>
    </row>
    <row r="256" spans="1:15" x14ac:dyDescent="0.2">
      <c r="A256" s="329"/>
      <c r="B256" s="329"/>
      <c r="C256" s="330"/>
      <c r="D256" s="330"/>
      <c r="E256" s="330"/>
      <c r="F256" s="330"/>
      <c r="G256" s="330"/>
      <c r="H256" s="330"/>
      <c r="I256" s="330"/>
      <c r="J256" s="330"/>
      <c r="K256" s="330"/>
      <c r="L256" s="329"/>
      <c r="M256" s="326"/>
      <c r="N256" s="327"/>
      <c r="O256" s="327"/>
    </row>
    <row r="257" spans="1:15" x14ac:dyDescent="0.2">
      <c r="A257" s="329"/>
      <c r="B257" s="329"/>
      <c r="C257" s="330"/>
      <c r="D257" s="330"/>
      <c r="E257" s="330"/>
      <c r="F257" s="330"/>
      <c r="G257" s="330"/>
      <c r="H257" s="330"/>
      <c r="I257" s="330"/>
      <c r="J257" s="330"/>
      <c r="K257" s="330"/>
      <c r="L257" s="329"/>
      <c r="M257" s="326"/>
      <c r="N257" s="327"/>
      <c r="O257" s="327"/>
    </row>
    <row r="258" spans="1:15" x14ac:dyDescent="0.2">
      <c r="A258" s="329"/>
      <c r="B258" s="329"/>
      <c r="C258" s="330"/>
      <c r="D258" s="330"/>
      <c r="E258" s="330"/>
      <c r="F258" s="330"/>
      <c r="G258" s="330"/>
      <c r="H258" s="330"/>
      <c r="I258" s="330"/>
      <c r="J258" s="330"/>
      <c r="K258" s="330"/>
      <c r="L258" s="329"/>
      <c r="M258" s="326"/>
      <c r="N258" s="327"/>
      <c r="O258" s="327"/>
    </row>
    <row r="259" spans="1:15" x14ac:dyDescent="0.2">
      <c r="A259" s="329"/>
      <c r="B259" s="329"/>
      <c r="C259" s="330"/>
      <c r="D259" s="330"/>
      <c r="E259" s="330"/>
      <c r="F259" s="330"/>
      <c r="G259" s="330"/>
      <c r="H259" s="330"/>
      <c r="I259" s="330"/>
      <c r="J259" s="330"/>
      <c r="K259" s="330"/>
      <c r="L259" s="329"/>
      <c r="M259" s="326"/>
      <c r="N259" s="327"/>
      <c r="O259" s="327"/>
    </row>
    <row r="260" spans="1:15" x14ac:dyDescent="0.2">
      <c r="A260" s="329"/>
      <c r="B260" s="329"/>
      <c r="C260" s="330"/>
      <c r="D260" s="330"/>
      <c r="E260" s="330"/>
      <c r="F260" s="330"/>
      <c r="G260" s="330"/>
      <c r="H260" s="330"/>
      <c r="I260" s="330"/>
      <c r="J260" s="330"/>
      <c r="K260" s="330"/>
      <c r="L260" s="329"/>
      <c r="M260" s="326"/>
      <c r="N260" s="327"/>
      <c r="O260" s="327"/>
    </row>
    <row r="261" spans="1:15" x14ac:dyDescent="0.2">
      <c r="A261" s="329"/>
      <c r="B261" s="329"/>
      <c r="C261" s="330"/>
      <c r="D261" s="330"/>
      <c r="E261" s="330"/>
      <c r="F261" s="330"/>
      <c r="G261" s="330"/>
      <c r="H261" s="330"/>
      <c r="I261" s="330"/>
      <c r="J261" s="330"/>
      <c r="K261" s="330"/>
      <c r="L261" s="329"/>
      <c r="M261" s="326"/>
      <c r="N261" s="327"/>
      <c r="O261" s="327"/>
    </row>
    <row r="262" spans="1:15" x14ac:dyDescent="0.2">
      <c r="A262" s="329"/>
      <c r="B262" s="329"/>
      <c r="C262" s="330"/>
      <c r="D262" s="330"/>
      <c r="E262" s="330"/>
      <c r="F262" s="330"/>
      <c r="G262" s="330"/>
      <c r="H262" s="330"/>
      <c r="I262" s="330"/>
      <c r="J262" s="330"/>
      <c r="K262" s="330"/>
      <c r="L262" s="329"/>
      <c r="M262" s="326"/>
      <c r="N262" s="327"/>
      <c r="O262" s="327"/>
    </row>
    <row r="263" spans="1:15" x14ac:dyDescent="0.2">
      <c r="A263" s="329"/>
      <c r="B263" s="329"/>
      <c r="C263" s="330"/>
      <c r="D263" s="330"/>
      <c r="E263" s="330"/>
      <c r="F263" s="330"/>
      <c r="G263" s="330"/>
      <c r="H263" s="330"/>
      <c r="I263" s="330"/>
      <c r="J263" s="330"/>
      <c r="K263" s="330"/>
      <c r="L263" s="329"/>
      <c r="M263" s="326"/>
      <c r="N263" s="327"/>
      <c r="O263" s="327"/>
    </row>
    <row r="264" spans="1:15" x14ac:dyDescent="0.2">
      <c r="A264" s="329"/>
      <c r="B264" s="329"/>
      <c r="C264" s="330"/>
      <c r="D264" s="330"/>
      <c r="E264" s="330"/>
      <c r="F264" s="330"/>
      <c r="G264" s="330"/>
      <c r="H264" s="330"/>
      <c r="I264" s="330"/>
      <c r="J264" s="330"/>
      <c r="K264" s="330"/>
      <c r="L264" s="329"/>
      <c r="M264" s="326"/>
      <c r="N264" s="327"/>
      <c r="O264" s="327"/>
    </row>
    <row r="265" spans="1:15" x14ac:dyDescent="0.2">
      <c r="A265" s="329"/>
      <c r="B265" s="329"/>
      <c r="C265" s="330"/>
      <c r="D265" s="330"/>
      <c r="E265" s="330"/>
      <c r="F265" s="330"/>
      <c r="G265" s="330"/>
      <c r="H265" s="330"/>
      <c r="I265" s="330"/>
      <c r="J265" s="330"/>
      <c r="K265" s="330"/>
      <c r="L265" s="329"/>
      <c r="M265" s="326"/>
      <c r="N265" s="327"/>
      <c r="O265" s="327"/>
    </row>
    <row r="266" spans="1:15" x14ac:dyDescent="0.2">
      <c r="A266" s="329"/>
      <c r="B266" s="329"/>
      <c r="C266" s="330"/>
      <c r="D266" s="330"/>
      <c r="E266" s="330"/>
      <c r="F266" s="330"/>
      <c r="G266" s="330"/>
      <c r="H266" s="330"/>
      <c r="I266" s="330"/>
      <c r="J266" s="330"/>
      <c r="K266" s="330"/>
      <c r="L266" s="329"/>
      <c r="M266" s="326"/>
      <c r="N266" s="327"/>
      <c r="O266" s="327"/>
    </row>
    <row r="267" spans="1:15" x14ac:dyDescent="0.2">
      <c r="A267" s="329"/>
      <c r="B267" s="329"/>
      <c r="C267" s="330"/>
      <c r="D267" s="330"/>
      <c r="E267" s="330"/>
      <c r="F267" s="330"/>
      <c r="G267" s="330"/>
      <c r="H267" s="330"/>
      <c r="I267" s="330"/>
      <c r="J267" s="330"/>
      <c r="K267" s="330"/>
      <c r="L267" s="329"/>
      <c r="M267" s="326"/>
      <c r="N267" s="327"/>
      <c r="O267" s="327"/>
    </row>
    <row r="268" spans="1:15" x14ac:dyDescent="0.2">
      <c r="A268" s="329"/>
      <c r="B268" s="329"/>
      <c r="C268" s="330"/>
      <c r="D268" s="330"/>
      <c r="E268" s="330"/>
      <c r="F268" s="330"/>
      <c r="G268" s="330"/>
      <c r="H268" s="330"/>
      <c r="I268" s="330"/>
      <c r="J268" s="330"/>
      <c r="K268" s="330"/>
      <c r="L268" s="329"/>
      <c r="M268" s="326"/>
      <c r="N268" s="327"/>
      <c r="O268" s="327"/>
    </row>
    <row r="269" spans="1:15" x14ac:dyDescent="0.2">
      <c r="A269" s="329"/>
      <c r="B269" s="329"/>
      <c r="C269" s="330"/>
      <c r="D269" s="330"/>
      <c r="E269" s="330"/>
      <c r="F269" s="330"/>
      <c r="G269" s="330"/>
      <c r="H269" s="330"/>
      <c r="I269" s="330"/>
      <c r="J269" s="330"/>
      <c r="K269" s="330"/>
      <c r="L269" s="329"/>
      <c r="M269" s="326"/>
      <c r="N269" s="327"/>
      <c r="O269" s="327"/>
    </row>
    <row r="270" spans="1:15" x14ac:dyDescent="0.2">
      <c r="A270" s="329"/>
      <c r="B270" s="329"/>
      <c r="C270" s="330"/>
      <c r="D270" s="330"/>
      <c r="E270" s="330"/>
      <c r="F270" s="330"/>
      <c r="G270" s="330"/>
      <c r="H270" s="330"/>
      <c r="I270" s="330"/>
      <c r="J270" s="330"/>
      <c r="K270" s="330"/>
      <c r="L270" s="329"/>
      <c r="M270" s="326"/>
      <c r="N270" s="327"/>
      <c r="O270" s="327"/>
    </row>
    <row r="271" spans="1:15" x14ac:dyDescent="0.2">
      <c r="A271" s="329"/>
      <c r="B271" s="329"/>
      <c r="C271" s="330"/>
      <c r="D271" s="330"/>
      <c r="E271" s="330"/>
      <c r="F271" s="330"/>
      <c r="G271" s="330"/>
      <c r="H271" s="330"/>
      <c r="I271" s="330"/>
      <c r="J271" s="330"/>
      <c r="K271" s="330"/>
      <c r="L271" s="329"/>
      <c r="M271" s="326"/>
      <c r="N271" s="327"/>
      <c r="O271" s="327"/>
    </row>
    <row r="272" spans="1:15" x14ac:dyDescent="0.2">
      <c r="A272" s="329"/>
      <c r="B272" s="329"/>
      <c r="C272" s="330"/>
      <c r="D272" s="330"/>
      <c r="E272" s="330"/>
      <c r="F272" s="330"/>
      <c r="G272" s="330"/>
      <c r="H272" s="330"/>
      <c r="I272" s="330"/>
      <c r="J272" s="330"/>
      <c r="K272" s="330"/>
      <c r="L272" s="329"/>
      <c r="M272" s="326"/>
      <c r="N272" s="327"/>
      <c r="O272" s="327"/>
    </row>
    <row r="273" spans="1:15" x14ac:dyDescent="0.2">
      <c r="A273" s="329"/>
      <c r="B273" s="329"/>
      <c r="C273" s="330"/>
      <c r="D273" s="330"/>
      <c r="E273" s="330"/>
      <c r="F273" s="330"/>
      <c r="G273" s="330"/>
      <c r="H273" s="330"/>
      <c r="I273" s="330"/>
      <c r="J273" s="330"/>
      <c r="K273" s="330"/>
      <c r="L273" s="329"/>
      <c r="M273" s="326"/>
      <c r="N273" s="327"/>
      <c r="O273" s="327"/>
    </row>
    <row r="274" spans="1:15" x14ac:dyDescent="0.2">
      <c r="A274" s="329"/>
      <c r="B274" s="329"/>
      <c r="C274" s="330"/>
      <c r="D274" s="330"/>
      <c r="E274" s="330"/>
      <c r="F274" s="330"/>
      <c r="G274" s="330"/>
      <c r="H274" s="330"/>
      <c r="I274" s="330"/>
      <c r="J274" s="330"/>
      <c r="K274" s="330"/>
      <c r="L274" s="329"/>
      <c r="M274" s="326"/>
      <c r="N274" s="327"/>
      <c r="O274" s="327"/>
    </row>
    <row r="275" spans="1:15" x14ac:dyDescent="0.2">
      <c r="A275" s="329"/>
      <c r="B275" s="329"/>
      <c r="C275" s="330"/>
      <c r="D275" s="330"/>
      <c r="E275" s="330"/>
      <c r="F275" s="330"/>
      <c r="G275" s="330"/>
      <c r="H275" s="330"/>
      <c r="I275" s="330"/>
      <c r="J275" s="330"/>
      <c r="K275" s="330"/>
      <c r="L275" s="329"/>
      <c r="M275" s="326"/>
      <c r="N275" s="327"/>
      <c r="O275" s="327"/>
    </row>
    <row r="276" spans="1:15" x14ac:dyDescent="0.2">
      <c r="A276" s="329"/>
      <c r="B276" s="329"/>
      <c r="C276" s="330"/>
      <c r="D276" s="330"/>
      <c r="E276" s="330"/>
      <c r="F276" s="330"/>
      <c r="G276" s="330"/>
      <c r="H276" s="330"/>
      <c r="I276" s="330"/>
      <c r="J276" s="330"/>
      <c r="K276" s="330"/>
      <c r="L276" s="329"/>
      <c r="M276" s="326"/>
      <c r="N276" s="327"/>
      <c r="O276" s="327"/>
    </row>
    <row r="277" spans="1:15" x14ac:dyDescent="0.2">
      <c r="A277" s="329"/>
      <c r="B277" s="329"/>
      <c r="C277" s="330"/>
      <c r="D277" s="330"/>
      <c r="E277" s="330"/>
      <c r="F277" s="330"/>
      <c r="G277" s="330"/>
      <c r="H277" s="330"/>
      <c r="I277" s="330"/>
      <c r="J277" s="330"/>
      <c r="K277" s="330"/>
      <c r="L277" s="329"/>
      <c r="M277" s="326"/>
      <c r="N277" s="327"/>
      <c r="O277" s="327"/>
    </row>
    <row r="278" spans="1:15" x14ac:dyDescent="0.2">
      <c r="A278" s="329"/>
      <c r="B278" s="329"/>
      <c r="C278" s="330"/>
      <c r="D278" s="330"/>
      <c r="E278" s="330"/>
      <c r="F278" s="330"/>
      <c r="G278" s="330"/>
      <c r="H278" s="330"/>
      <c r="I278" s="330"/>
      <c r="J278" s="330"/>
      <c r="K278" s="330"/>
      <c r="L278" s="329"/>
      <c r="M278" s="326"/>
      <c r="N278" s="327"/>
      <c r="O278" s="327"/>
    </row>
    <row r="279" spans="1:15" x14ac:dyDescent="0.2">
      <c r="A279" s="329"/>
      <c r="B279" s="329"/>
      <c r="C279" s="330"/>
      <c r="D279" s="330"/>
      <c r="E279" s="330"/>
      <c r="F279" s="330"/>
      <c r="G279" s="330"/>
      <c r="H279" s="330"/>
      <c r="I279" s="330"/>
      <c r="J279" s="330"/>
      <c r="K279" s="330"/>
      <c r="L279" s="329"/>
      <c r="M279" s="326"/>
      <c r="N279" s="327"/>
      <c r="O279" s="327"/>
    </row>
    <row r="280" spans="1:15" x14ac:dyDescent="0.2">
      <c r="A280" s="329"/>
      <c r="B280" s="329"/>
      <c r="C280" s="330"/>
      <c r="D280" s="330"/>
      <c r="E280" s="330"/>
      <c r="F280" s="330"/>
      <c r="G280" s="330"/>
      <c r="H280" s="330"/>
      <c r="I280" s="330"/>
      <c r="J280" s="330"/>
      <c r="K280" s="330"/>
      <c r="L280" s="329"/>
      <c r="M280" s="326"/>
      <c r="N280" s="327"/>
      <c r="O280" s="327"/>
    </row>
    <row r="281" spans="1:15" x14ac:dyDescent="0.2">
      <c r="A281" s="329"/>
      <c r="B281" s="329"/>
      <c r="C281" s="330"/>
      <c r="D281" s="330"/>
      <c r="E281" s="330"/>
      <c r="F281" s="330"/>
      <c r="G281" s="330"/>
      <c r="H281" s="330"/>
      <c r="I281" s="330"/>
      <c r="J281" s="330"/>
      <c r="K281" s="330"/>
      <c r="L281" s="329"/>
      <c r="M281" s="326"/>
      <c r="N281" s="327"/>
      <c r="O281" s="327"/>
    </row>
    <row r="282" spans="1:15" x14ac:dyDescent="0.2">
      <c r="A282" s="329"/>
      <c r="B282" s="329"/>
      <c r="C282" s="330"/>
      <c r="D282" s="330"/>
      <c r="E282" s="330"/>
      <c r="F282" s="330"/>
      <c r="G282" s="330"/>
      <c r="H282" s="330"/>
      <c r="I282" s="330"/>
      <c r="J282" s="330"/>
      <c r="K282" s="330"/>
      <c r="L282" s="329"/>
      <c r="M282" s="326"/>
      <c r="N282" s="327"/>
      <c r="O282" s="327"/>
    </row>
    <row r="283" spans="1:15" x14ac:dyDescent="0.2">
      <c r="A283" s="329"/>
      <c r="B283" s="329"/>
      <c r="C283" s="330"/>
      <c r="D283" s="330"/>
      <c r="E283" s="330"/>
      <c r="F283" s="330"/>
      <c r="G283" s="330"/>
      <c r="H283" s="330"/>
      <c r="I283" s="330"/>
      <c r="J283" s="330"/>
      <c r="K283" s="330"/>
      <c r="L283" s="329"/>
      <c r="M283" s="326"/>
      <c r="N283" s="327"/>
      <c r="O283" s="327"/>
    </row>
    <row r="284" spans="1:15" x14ac:dyDescent="0.2">
      <c r="A284" s="329"/>
      <c r="B284" s="329"/>
      <c r="C284" s="330"/>
      <c r="D284" s="330"/>
      <c r="E284" s="330"/>
      <c r="F284" s="330"/>
      <c r="G284" s="330"/>
      <c r="H284" s="330"/>
      <c r="I284" s="330"/>
      <c r="J284" s="330"/>
      <c r="K284" s="330"/>
      <c r="L284" s="329"/>
      <c r="M284" s="326"/>
      <c r="N284" s="327"/>
      <c r="O284" s="327"/>
    </row>
    <row r="285" spans="1:15" x14ac:dyDescent="0.2">
      <c r="A285" s="329"/>
      <c r="B285" s="329"/>
      <c r="C285" s="330"/>
      <c r="D285" s="330"/>
      <c r="E285" s="330"/>
      <c r="F285" s="330"/>
      <c r="G285" s="330"/>
      <c r="H285" s="330"/>
      <c r="I285" s="330"/>
      <c r="J285" s="330"/>
      <c r="K285" s="330"/>
      <c r="L285" s="329"/>
      <c r="M285" s="326"/>
      <c r="N285" s="327"/>
      <c r="O285" s="327"/>
    </row>
    <row r="286" spans="1:15" x14ac:dyDescent="0.2">
      <c r="A286" s="329"/>
      <c r="B286" s="329"/>
      <c r="C286" s="330"/>
      <c r="D286" s="330"/>
      <c r="E286" s="330"/>
      <c r="F286" s="330"/>
      <c r="G286" s="330"/>
      <c r="H286" s="330"/>
      <c r="I286" s="330"/>
      <c r="J286" s="330"/>
      <c r="K286" s="330"/>
      <c r="L286" s="329"/>
      <c r="M286" s="326"/>
      <c r="N286" s="327"/>
      <c r="O286" s="327"/>
    </row>
    <row r="287" spans="1:15" x14ac:dyDescent="0.2">
      <c r="A287" s="329"/>
      <c r="B287" s="329"/>
      <c r="C287" s="330"/>
      <c r="D287" s="330"/>
      <c r="E287" s="330"/>
      <c r="F287" s="330"/>
      <c r="G287" s="330"/>
      <c r="H287" s="330"/>
      <c r="I287" s="330"/>
      <c r="J287" s="330"/>
      <c r="K287" s="330"/>
      <c r="L287" s="329"/>
      <c r="M287" s="326"/>
      <c r="N287" s="327"/>
      <c r="O287" s="327"/>
    </row>
    <row r="288" spans="1:15" x14ac:dyDescent="0.2">
      <c r="A288" s="329"/>
      <c r="B288" s="329"/>
      <c r="C288" s="330"/>
      <c r="D288" s="330"/>
      <c r="E288" s="330"/>
      <c r="F288" s="330"/>
      <c r="G288" s="330"/>
      <c r="H288" s="330"/>
      <c r="I288" s="330"/>
      <c r="J288" s="330"/>
      <c r="K288" s="330"/>
      <c r="L288" s="329"/>
      <c r="M288" s="326"/>
      <c r="N288" s="327"/>
      <c r="O288" s="327"/>
    </row>
    <row r="289" spans="1:15" x14ac:dyDescent="0.2">
      <c r="A289" s="329"/>
      <c r="B289" s="329"/>
      <c r="C289" s="330"/>
      <c r="D289" s="330"/>
      <c r="E289" s="330"/>
      <c r="F289" s="330"/>
      <c r="G289" s="330"/>
      <c r="H289" s="330"/>
      <c r="I289" s="330"/>
      <c r="J289" s="330"/>
      <c r="K289" s="330"/>
      <c r="L289" s="329"/>
      <c r="M289" s="326"/>
      <c r="N289" s="327"/>
      <c r="O289" s="327"/>
    </row>
    <row r="290" spans="1:15" x14ac:dyDescent="0.2">
      <c r="A290" s="329"/>
      <c r="B290" s="329"/>
      <c r="C290" s="330"/>
      <c r="D290" s="330"/>
      <c r="E290" s="330"/>
      <c r="F290" s="330"/>
      <c r="G290" s="330"/>
      <c r="H290" s="330"/>
      <c r="I290" s="330"/>
      <c r="J290" s="330"/>
      <c r="K290" s="330"/>
      <c r="L290" s="329"/>
      <c r="M290" s="326"/>
      <c r="N290" s="327"/>
      <c r="O290" s="327"/>
    </row>
    <row r="291" spans="1:15" x14ac:dyDescent="0.2">
      <c r="A291" s="329"/>
      <c r="B291" s="329"/>
      <c r="C291" s="330"/>
      <c r="D291" s="330"/>
      <c r="E291" s="330"/>
      <c r="F291" s="330"/>
      <c r="G291" s="330"/>
      <c r="H291" s="330"/>
      <c r="I291" s="330"/>
      <c r="J291" s="330"/>
      <c r="K291" s="330"/>
      <c r="L291" s="329"/>
      <c r="M291" s="326"/>
      <c r="N291" s="327"/>
      <c r="O291" s="327"/>
    </row>
    <row r="292" spans="1:15" x14ac:dyDescent="0.2">
      <c r="A292" s="329"/>
      <c r="B292" s="329"/>
      <c r="C292" s="330"/>
      <c r="D292" s="330"/>
      <c r="E292" s="330"/>
      <c r="F292" s="330"/>
      <c r="G292" s="330"/>
      <c r="H292" s="330"/>
      <c r="I292" s="330"/>
      <c r="J292" s="330"/>
      <c r="K292" s="330"/>
      <c r="L292" s="329"/>
      <c r="M292" s="326"/>
      <c r="N292" s="327"/>
      <c r="O292" s="327"/>
    </row>
    <row r="293" spans="1:15" x14ac:dyDescent="0.2">
      <c r="A293" s="329"/>
      <c r="B293" s="329"/>
      <c r="C293" s="330"/>
      <c r="D293" s="330"/>
      <c r="E293" s="330"/>
      <c r="F293" s="330"/>
      <c r="G293" s="330"/>
      <c r="H293" s="330"/>
      <c r="I293" s="330"/>
      <c r="J293" s="330"/>
      <c r="K293" s="330"/>
      <c r="L293" s="329"/>
      <c r="M293" s="326"/>
      <c r="N293" s="327"/>
      <c r="O293" s="327"/>
    </row>
    <row r="294" spans="1:15" x14ac:dyDescent="0.2">
      <c r="A294" s="329"/>
      <c r="B294" s="329"/>
      <c r="C294" s="330"/>
      <c r="D294" s="330"/>
      <c r="E294" s="330"/>
      <c r="F294" s="330"/>
      <c r="G294" s="330"/>
      <c r="H294" s="330"/>
      <c r="I294" s="330"/>
      <c r="J294" s="330"/>
      <c r="K294" s="330"/>
      <c r="L294" s="329"/>
      <c r="M294" s="326"/>
      <c r="N294" s="327"/>
      <c r="O294" s="327"/>
    </row>
    <row r="295" spans="1:15" x14ac:dyDescent="0.2">
      <c r="A295" s="329"/>
      <c r="B295" s="329"/>
      <c r="C295" s="330"/>
      <c r="D295" s="330"/>
      <c r="E295" s="330"/>
      <c r="F295" s="330"/>
      <c r="G295" s="330"/>
      <c r="H295" s="330"/>
      <c r="I295" s="330"/>
      <c r="J295" s="330"/>
      <c r="K295" s="330"/>
      <c r="L295" s="329"/>
      <c r="M295" s="326"/>
      <c r="N295" s="327"/>
      <c r="O295" s="327"/>
    </row>
    <row r="296" spans="1:15" x14ac:dyDescent="0.2">
      <c r="A296" s="329"/>
      <c r="B296" s="329"/>
      <c r="C296" s="330"/>
      <c r="D296" s="330"/>
      <c r="E296" s="330"/>
      <c r="F296" s="330"/>
      <c r="G296" s="330"/>
      <c r="H296" s="330"/>
      <c r="I296" s="330"/>
      <c r="J296" s="330"/>
      <c r="K296" s="330"/>
      <c r="L296" s="329"/>
      <c r="M296" s="326"/>
      <c r="N296" s="327"/>
      <c r="O296" s="327"/>
    </row>
    <row r="297" spans="1:15" x14ac:dyDescent="0.2">
      <c r="A297" s="329"/>
      <c r="B297" s="329"/>
      <c r="C297" s="330"/>
      <c r="D297" s="330"/>
      <c r="E297" s="330"/>
      <c r="F297" s="330"/>
      <c r="G297" s="330"/>
      <c r="H297" s="330"/>
      <c r="I297" s="330"/>
      <c r="J297" s="330"/>
      <c r="K297" s="330"/>
      <c r="L297" s="329"/>
      <c r="M297" s="326"/>
      <c r="N297" s="327"/>
      <c r="O297" s="327"/>
    </row>
    <row r="298" spans="1:15" x14ac:dyDescent="0.2">
      <c r="A298" s="329"/>
      <c r="B298" s="329"/>
      <c r="C298" s="330"/>
      <c r="D298" s="330"/>
      <c r="E298" s="330"/>
      <c r="F298" s="330"/>
      <c r="G298" s="330"/>
      <c r="H298" s="330"/>
      <c r="I298" s="330"/>
      <c r="J298" s="330"/>
      <c r="K298" s="330"/>
      <c r="L298" s="329"/>
      <c r="M298" s="326"/>
      <c r="N298" s="327"/>
      <c r="O298" s="327"/>
    </row>
    <row r="299" spans="1:15" x14ac:dyDescent="0.2">
      <c r="A299" s="329"/>
      <c r="B299" s="329"/>
      <c r="C299" s="330"/>
      <c r="D299" s="330"/>
      <c r="E299" s="330"/>
      <c r="F299" s="330"/>
      <c r="G299" s="330"/>
      <c r="H299" s="330"/>
      <c r="I299" s="330"/>
      <c r="J299" s="330"/>
      <c r="K299" s="330"/>
      <c r="L299" s="329"/>
      <c r="M299" s="326"/>
      <c r="N299" s="327"/>
      <c r="O299" s="327"/>
    </row>
    <row r="300" spans="1:15" x14ac:dyDescent="0.2">
      <c r="A300" s="329"/>
      <c r="B300" s="329"/>
      <c r="C300" s="330"/>
      <c r="D300" s="330"/>
      <c r="E300" s="330"/>
      <c r="F300" s="330"/>
      <c r="G300" s="330"/>
      <c r="H300" s="330"/>
      <c r="I300" s="330"/>
      <c r="J300" s="330"/>
      <c r="K300" s="330"/>
      <c r="L300" s="329"/>
      <c r="M300" s="326"/>
      <c r="N300" s="327"/>
      <c r="O300" s="327"/>
    </row>
    <row r="301" spans="1:15" x14ac:dyDescent="0.2">
      <c r="A301" s="329"/>
      <c r="B301" s="329"/>
      <c r="C301" s="330"/>
      <c r="D301" s="330"/>
      <c r="E301" s="330"/>
      <c r="F301" s="330"/>
      <c r="G301" s="330"/>
      <c r="H301" s="330"/>
      <c r="I301" s="330"/>
      <c r="J301" s="330"/>
      <c r="K301" s="330"/>
      <c r="L301" s="329"/>
      <c r="M301" s="326"/>
      <c r="N301" s="327"/>
      <c r="O301" s="327"/>
    </row>
    <row r="302" spans="1:15" x14ac:dyDescent="0.2">
      <c r="A302" s="329"/>
      <c r="B302" s="329"/>
      <c r="C302" s="330"/>
      <c r="D302" s="330"/>
      <c r="E302" s="330"/>
      <c r="F302" s="330"/>
      <c r="G302" s="330"/>
      <c r="H302" s="330"/>
      <c r="I302" s="330"/>
      <c r="J302" s="330"/>
      <c r="K302" s="330"/>
      <c r="L302" s="329"/>
      <c r="M302" s="326"/>
      <c r="N302" s="327"/>
      <c r="O302" s="327"/>
    </row>
    <row r="303" spans="1:15" x14ac:dyDescent="0.2">
      <c r="A303" s="329"/>
      <c r="B303" s="329"/>
      <c r="C303" s="330"/>
      <c r="D303" s="330"/>
      <c r="E303" s="330"/>
      <c r="F303" s="330"/>
      <c r="G303" s="330"/>
      <c r="H303" s="330"/>
      <c r="I303" s="330"/>
      <c r="J303" s="330"/>
      <c r="K303" s="330"/>
      <c r="L303" s="329"/>
      <c r="M303" s="326"/>
      <c r="N303" s="327"/>
      <c r="O303" s="327"/>
    </row>
    <row r="304" spans="1:15" x14ac:dyDescent="0.2">
      <c r="A304" s="329"/>
      <c r="B304" s="329"/>
      <c r="C304" s="330"/>
      <c r="D304" s="330"/>
      <c r="E304" s="330"/>
      <c r="F304" s="330"/>
      <c r="G304" s="330"/>
      <c r="H304" s="330"/>
      <c r="I304" s="330"/>
      <c r="J304" s="330"/>
      <c r="K304" s="330"/>
      <c r="L304" s="329"/>
      <c r="M304" s="326"/>
      <c r="N304" s="327"/>
      <c r="O304" s="327"/>
    </row>
    <row r="305" spans="1:15" x14ac:dyDescent="0.2">
      <c r="A305" s="329"/>
      <c r="B305" s="329"/>
      <c r="C305" s="330"/>
      <c r="D305" s="330"/>
      <c r="E305" s="330"/>
      <c r="F305" s="330"/>
      <c r="G305" s="330"/>
      <c r="H305" s="330"/>
      <c r="I305" s="330"/>
      <c r="J305" s="330"/>
      <c r="K305" s="330"/>
      <c r="L305" s="329"/>
      <c r="M305" s="326"/>
      <c r="N305" s="327"/>
      <c r="O305" s="327"/>
    </row>
    <row r="306" spans="1:15" x14ac:dyDescent="0.2">
      <c r="A306" s="329"/>
      <c r="B306" s="329"/>
      <c r="C306" s="330"/>
      <c r="D306" s="330"/>
      <c r="E306" s="330"/>
      <c r="F306" s="330"/>
      <c r="G306" s="330"/>
      <c r="H306" s="330"/>
      <c r="I306" s="330"/>
      <c r="J306" s="330"/>
      <c r="K306" s="330"/>
      <c r="L306" s="329"/>
      <c r="M306" s="326"/>
      <c r="N306" s="327"/>
      <c r="O306" s="327"/>
    </row>
    <row r="307" spans="1:15" x14ac:dyDescent="0.2">
      <c r="A307" s="329"/>
      <c r="B307" s="329"/>
      <c r="C307" s="330"/>
      <c r="D307" s="330"/>
      <c r="E307" s="330"/>
      <c r="F307" s="330"/>
      <c r="G307" s="330"/>
      <c r="H307" s="330"/>
      <c r="I307" s="330"/>
      <c r="J307" s="330"/>
      <c r="K307" s="330"/>
      <c r="L307" s="329"/>
      <c r="M307" s="326"/>
      <c r="N307" s="327"/>
      <c r="O307" s="327"/>
    </row>
    <row r="308" spans="1:15" x14ac:dyDescent="0.2">
      <c r="A308" s="329"/>
      <c r="B308" s="329"/>
      <c r="C308" s="330"/>
      <c r="D308" s="330"/>
      <c r="E308" s="330"/>
      <c r="F308" s="330"/>
      <c r="G308" s="330"/>
      <c r="H308" s="330"/>
      <c r="I308" s="330"/>
      <c r="J308" s="330"/>
      <c r="K308" s="330"/>
      <c r="L308" s="329"/>
      <c r="M308" s="326"/>
      <c r="N308" s="327"/>
      <c r="O308" s="327"/>
    </row>
    <row r="309" spans="1:15" x14ac:dyDescent="0.2">
      <c r="A309" s="329"/>
      <c r="B309" s="329"/>
      <c r="C309" s="330"/>
      <c r="D309" s="330"/>
      <c r="E309" s="330"/>
      <c r="F309" s="330"/>
      <c r="G309" s="330"/>
      <c r="H309" s="330"/>
      <c r="I309" s="330"/>
      <c r="J309" s="330"/>
      <c r="K309" s="330"/>
      <c r="L309" s="329"/>
      <c r="M309" s="326"/>
      <c r="N309" s="327"/>
      <c r="O309" s="327"/>
    </row>
    <row r="310" spans="1:15" x14ac:dyDescent="0.2">
      <c r="A310" s="329"/>
      <c r="B310" s="329"/>
      <c r="C310" s="330"/>
      <c r="D310" s="330"/>
      <c r="E310" s="330"/>
      <c r="F310" s="330"/>
      <c r="G310" s="330"/>
      <c r="H310" s="330"/>
      <c r="I310" s="330"/>
      <c r="J310" s="330"/>
      <c r="K310" s="330"/>
      <c r="L310" s="329"/>
      <c r="M310" s="326"/>
      <c r="N310" s="327"/>
      <c r="O310" s="327"/>
    </row>
    <row r="311" spans="1:15" x14ac:dyDescent="0.2">
      <c r="A311" s="329"/>
      <c r="B311" s="329"/>
      <c r="C311" s="330"/>
      <c r="D311" s="330"/>
      <c r="E311" s="330"/>
      <c r="F311" s="330"/>
      <c r="G311" s="330"/>
      <c r="H311" s="330"/>
      <c r="I311" s="330"/>
      <c r="J311" s="330"/>
      <c r="K311" s="330"/>
      <c r="L311" s="329"/>
      <c r="M311" s="326"/>
      <c r="N311" s="327"/>
      <c r="O311" s="327"/>
    </row>
    <row r="312" spans="1:15" x14ac:dyDescent="0.2">
      <c r="A312" s="329"/>
      <c r="B312" s="329"/>
      <c r="C312" s="330"/>
      <c r="D312" s="330"/>
      <c r="E312" s="330"/>
      <c r="F312" s="330"/>
      <c r="G312" s="330"/>
      <c r="H312" s="330"/>
      <c r="I312" s="330"/>
      <c r="J312" s="330"/>
      <c r="K312" s="330"/>
      <c r="L312" s="329"/>
      <c r="M312" s="326"/>
      <c r="N312" s="327"/>
      <c r="O312" s="327"/>
    </row>
    <row r="313" spans="1:15" x14ac:dyDescent="0.2">
      <c r="A313" s="329"/>
      <c r="B313" s="329"/>
      <c r="C313" s="330"/>
      <c r="D313" s="330"/>
      <c r="E313" s="330"/>
      <c r="F313" s="330"/>
      <c r="G313" s="330"/>
      <c r="H313" s="330"/>
      <c r="I313" s="330"/>
      <c r="J313" s="330"/>
      <c r="K313" s="330"/>
      <c r="L313" s="329"/>
      <c r="M313" s="326"/>
      <c r="N313" s="327"/>
      <c r="O313" s="327"/>
    </row>
    <row r="314" spans="1:15" x14ac:dyDescent="0.2">
      <c r="A314" s="329"/>
      <c r="B314" s="329"/>
      <c r="C314" s="330"/>
      <c r="D314" s="330"/>
      <c r="E314" s="330"/>
      <c r="F314" s="330"/>
      <c r="G314" s="330"/>
      <c r="H314" s="330"/>
      <c r="I314" s="330"/>
      <c r="J314" s="330"/>
      <c r="K314" s="330"/>
      <c r="L314" s="329"/>
      <c r="M314" s="326"/>
      <c r="N314" s="327"/>
      <c r="O314" s="327"/>
    </row>
    <row r="315" spans="1:15" x14ac:dyDescent="0.2">
      <c r="A315" s="329"/>
      <c r="B315" s="329"/>
      <c r="C315" s="330"/>
      <c r="D315" s="330"/>
      <c r="E315" s="330"/>
      <c r="F315" s="330"/>
      <c r="G315" s="330"/>
      <c r="H315" s="330"/>
      <c r="I315" s="330"/>
      <c r="J315" s="330"/>
      <c r="K315" s="330"/>
      <c r="L315" s="329"/>
      <c r="M315" s="326"/>
      <c r="N315" s="327"/>
      <c r="O315" s="327"/>
    </row>
    <row r="316" spans="1:15" x14ac:dyDescent="0.2">
      <c r="A316" s="329"/>
      <c r="B316" s="329"/>
      <c r="C316" s="330"/>
      <c r="D316" s="330"/>
      <c r="E316" s="330"/>
      <c r="F316" s="330"/>
      <c r="G316" s="330"/>
      <c r="H316" s="330"/>
      <c r="I316" s="330"/>
      <c r="J316" s="330"/>
      <c r="K316" s="330"/>
      <c r="L316" s="329"/>
      <c r="M316" s="326"/>
      <c r="N316" s="327"/>
      <c r="O316" s="327"/>
    </row>
    <row r="317" spans="1:15" x14ac:dyDescent="0.2">
      <c r="A317" s="329"/>
      <c r="B317" s="329"/>
      <c r="C317" s="330"/>
      <c r="D317" s="330"/>
      <c r="E317" s="330"/>
      <c r="F317" s="330"/>
      <c r="G317" s="330"/>
      <c r="H317" s="330"/>
      <c r="I317" s="330"/>
      <c r="J317" s="330"/>
      <c r="K317" s="330"/>
      <c r="L317" s="329"/>
      <c r="M317" s="326"/>
      <c r="N317" s="327"/>
      <c r="O317" s="327"/>
    </row>
    <row r="318" spans="1:15" x14ac:dyDescent="0.2">
      <c r="A318" s="329"/>
      <c r="B318" s="329"/>
      <c r="C318" s="330"/>
      <c r="D318" s="330"/>
      <c r="E318" s="330"/>
      <c r="F318" s="330"/>
      <c r="G318" s="330"/>
      <c r="H318" s="330"/>
      <c r="I318" s="330"/>
      <c r="J318" s="330"/>
      <c r="K318" s="330"/>
      <c r="L318" s="329"/>
      <c r="M318" s="326"/>
      <c r="N318" s="327"/>
      <c r="O318" s="327"/>
    </row>
    <row r="319" spans="1:15" x14ac:dyDescent="0.2">
      <c r="A319" s="329"/>
      <c r="B319" s="329"/>
      <c r="C319" s="330"/>
      <c r="D319" s="330"/>
      <c r="E319" s="330"/>
      <c r="F319" s="330"/>
      <c r="G319" s="330"/>
      <c r="H319" s="330"/>
      <c r="I319" s="330"/>
      <c r="J319" s="330"/>
      <c r="K319" s="330"/>
      <c r="L319" s="329"/>
      <c r="M319" s="326"/>
      <c r="N319" s="327"/>
      <c r="O319" s="327"/>
    </row>
    <row r="320" spans="1:15" x14ac:dyDescent="0.2">
      <c r="A320" s="329"/>
      <c r="B320" s="329"/>
      <c r="C320" s="330"/>
      <c r="D320" s="330"/>
      <c r="E320" s="330"/>
      <c r="F320" s="330"/>
      <c r="G320" s="330"/>
      <c r="H320" s="330"/>
      <c r="I320" s="330"/>
      <c r="J320" s="330"/>
      <c r="K320" s="330"/>
      <c r="L320" s="329"/>
      <c r="M320" s="326"/>
      <c r="N320" s="327"/>
      <c r="O320" s="327"/>
    </row>
    <row r="321" spans="1:15" x14ac:dyDescent="0.2">
      <c r="A321" s="329"/>
      <c r="B321" s="329"/>
      <c r="C321" s="330"/>
      <c r="D321" s="330"/>
      <c r="E321" s="330"/>
      <c r="F321" s="330"/>
      <c r="G321" s="330"/>
      <c r="H321" s="330"/>
      <c r="I321" s="330"/>
      <c r="J321" s="330"/>
      <c r="K321" s="330"/>
      <c r="L321" s="329"/>
      <c r="M321" s="326"/>
      <c r="N321" s="327"/>
      <c r="O321" s="327"/>
    </row>
    <row r="322" spans="1:15" x14ac:dyDescent="0.2">
      <c r="A322" s="329"/>
      <c r="B322" s="329"/>
      <c r="C322" s="330"/>
      <c r="D322" s="330"/>
      <c r="E322" s="330"/>
      <c r="F322" s="330"/>
      <c r="G322" s="330"/>
      <c r="H322" s="330"/>
      <c r="I322" s="330"/>
      <c r="J322" s="330"/>
      <c r="K322" s="330"/>
      <c r="L322" s="329"/>
      <c r="M322" s="326"/>
      <c r="N322" s="327"/>
      <c r="O322" s="327"/>
    </row>
    <row r="323" spans="1:15" x14ac:dyDescent="0.2">
      <c r="A323" s="329"/>
      <c r="B323" s="329"/>
      <c r="C323" s="330"/>
      <c r="D323" s="330"/>
      <c r="E323" s="330"/>
      <c r="F323" s="330"/>
      <c r="G323" s="330"/>
      <c r="H323" s="330"/>
      <c r="I323" s="330"/>
      <c r="J323" s="330"/>
      <c r="K323" s="330"/>
      <c r="L323" s="329"/>
      <c r="M323" s="326"/>
      <c r="N323" s="327"/>
      <c r="O323" s="327"/>
    </row>
    <row r="324" spans="1:15" x14ac:dyDescent="0.2">
      <c r="A324" s="329"/>
      <c r="B324" s="329"/>
      <c r="C324" s="330"/>
      <c r="D324" s="330"/>
      <c r="E324" s="330"/>
      <c r="F324" s="330"/>
      <c r="G324" s="330"/>
      <c r="H324" s="330"/>
      <c r="I324" s="330"/>
      <c r="J324" s="330"/>
      <c r="K324" s="330"/>
      <c r="L324" s="329"/>
      <c r="M324" s="326"/>
      <c r="N324" s="327"/>
      <c r="O324" s="327"/>
    </row>
    <row r="325" spans="1:15" x14ac:dyDescent="0.2">
      <c r="A325" s="329"/>
      <c r="B325" s="329"/>
      <c r="C325" s="330"/>
      <c r="D325" s="330"/>
      <c r="E325" s="330"/>
      <c r="F325" s="330"/>
      <c r="G325" s="330"/>
      <c r="H325" s="330"/>
      <c r="I325" s="330"/>
      <c r="J325" s="330"/>
      <c r="K325" s="330"/>
      <c r="L325" s="329"/>
      <c r="M325" s="326"/>
      <c r="N325" s="327"/>
      <c r="O325" s="327"/>
    </row>
    <row r="326" spans="1:15" x14ac:dyDescent="0.2">
      <c r="A326" s="329"/>
      <c r="B326" s="329"/>
      <c r="C326" s="330"/>
      <c r="D326" s="330"/>
      <c r="E326" s="330"/>
      <c r="F326" s="330"/>
      <c r="G326" s="330"/>
      <c r="H326" s="330"/>
      <c r="I326" s="330"/>
      <c r="J326" s="330"/>
      <c r="K326" s="330"/>
      <c r="L326" s="329"/>
      <c r="M326" s="326"/>
      <c r="N326" s="327"/>
      <c r="O326" s="327"/>
    </row>
    <row r="327" spans="1:15" x14ac:dyDescent="0.2">
      <c r="A327" s="329"/>
      <c r="B327" s="329"/>
      <c r="C327" s="330"/>
      <c r="D327" s="330"/>
      <c r="E327" s="330"/>
      <c r="F327" s="330"/>
      <c r="G327" s="330"/>
      <c r="H327" s="330"/>
      <c r="I327" s="330"/>
      <c r="J327" s="330"/>
      <c r="K327" s="330"/>
      <c r="L327" s="329"/>
      <c r="M327" s="326"/>
      <c r="N327" s="327"/>
      <c r="O327" s="327"/>
    </row>
    <row r="328" spans="1:15" x14ac:dyDescent="0.2">
      <c r="A328" s="329"/>
      <c r="B328" s="329"/>
      <c r="C328" s="330"/>
      <c r="D328" s="330"/>
      <c r="E328" s="330"/>
      <c r="F328" s="330"/>
      <c r="G328" s="330"/>
      <c r="H328" s="330"/>
      <c r="I328" s="330"/>
      <c r="J328" s="330"/>
      <c r="K328" s="330"/>
      <c r="L328" s="329"/>
      <c r="M328" s="326"/>
      <c r="N328" s="327"/>
      <c r="O328" s="327"/>
    </row>
    <row r="329" spans="1:15" x14ac:dyDescent="0.2">
      <c r="A329" s="329"/>
      <c r="B329" s="329"/>
      <c r="C329" s="330"/>
      <c r="D329" s="330"/>
      <c r="E329" s="330"/>
      <c r="F329" s="330"/>
      <c r="G329" s="330"/>
      <c r="H329" s="330"/>
      <c r="I329" s="330"/>
      <c r="J329" s="330"/>
      <c r="K329" s="330"/>
      <c r="L329" s="329"/>
      <c r="M329" s="326"/>
      <c r="N329" s="327"/>
      <c r="O329" s="327"/>
    </row>
    <row r="330" spans="1:15" x14ac:dyDescent="0.2">
      <c r="A330" s="329"/>
      <c r="B330" s="329"/>
      <c r="C330" s="330"/>
      <c r="D330" s="330"/>
      <c r="E330" s="330"/>
      <c r="F330" s="330"/>
      <c r="G330" s="330"/>
      <c r="H330" s="330"/>
      <c r="I330" s="330"/>
      <c r="J330" s="330"/>
      <c r="K330" s="330"/>
      <c r="L330" s="329"/>
      <c r="M330" s="326"/>
      <c r="N330" s="327"/>
      <c r="O330" s="327"/>
    </row>
    <row r="331" spans="1:15" x14ac:dyDescent="0.2">
      <c r="A331" s="329"/>
      <c r="B331" s="329"/>
      <c r="C331" s="330"/>
      <c r="D331" s="330"/>
      <c r="E331" s="330"/>
      <c r="F331" s="330"/>
      <c r="G331" s="330"/>
      <c r="H331" s="330"/>
      <c r="I331" s="330"/>
      <c r="J331" s="330"/>
      <c r="K331" s="330"/>
      <c r="L331" s="329"/>
      <c r="M331" s="326"/>
      <c r="N331" s="327"/>
      <c r="O331" s="327"/>
    </row>
    <row r="332" spans="1:15" x14ac:dyDescent="0.2">
      <c r="A332" s="329"/>
      <c r="B332" s="329"/>
      <c r="C332" s="330"/>
      <c r="D332" s="330"/>
      <c r="E332" s="330"/>
      <c r="F332" s="330"/>
      <c r="G332" s="330"/>
      <c r="H332" s="330"/>
      <c r="I332" s="330"/>
      <c r="J332" s="330"/>
      <c r="K332" s="330"/>
      <c r="L332" s="329"/>
      <c r="M332" s="326"/>
      <c r="N332" s="327"/>
      <c r="O332" s="327"/>
    </row>
    <row r="333" spans="1:15" x14ac:dyDescent="0.2">
      <c r="A333" s="329"/>
      <c r="B333" s="329"/>
      <c r="C333" s="330"/>
      <c r="D333" s="330"/>
      <c r="E333" s="330"/>
      <c r="F333" s="330"/>
      <c r="G333" s="330"/>
      <c r="H333" s="330"/>
      <c r="I333" s="330"/>
      <c r="J333" s="330"/>
      <c r="K333" s="330"/>
      <c r="L333" s="329"/>
      <c r="M333" s="326"/>
      <c r="N333" s="327"/>
      <c r="O333" s="327"/>
    </row>
    <row r="334" spans="1:15" x14ac:dyDescent="0.2">
      <c r="A334" s="329"/>
      <c r="B334" s="329"/>
      <c r="C334" s="330"/>
      <c r="D334" s="330"/>
      <c r="E334" s="330"/>
      <c r="F334" s="330"/>
      <c r="G334" s="330"/>
      <c r="H334" s="330"/>
      <c r="I334" s="330"/>
      <c r="J334" s="330"/>
      <c r="K334" s="330"/>
      <c r="L334" s="329"/>
      <c r="M334" s="326"/>
      <c r="N334" s="327"/>
      <c r="O334" s="327"/>
    </row>
    <row r="335" spans="1:15" x14ac:dyDescent="0.2">
      <c r="A335" s="329"/>
      <c r="B335" s="329"/>
      <c r="C335" s="330"/>
      <c r="D335" s="330"/>
      <c r="E335" s="330"/>
      <c r="F335" s="330"/>
      <c r="G335" s="330"/>
      <c r="H335" s="330"/>
      <c r="I335" s="330"/>
      <c r="J335" s="330"/>
      <c r="K335" s="330"/>
      <c r="L335" s="329"/>
      <c r="M335" s="326"/>
      <c r="N335" s="327"/>
      <c r="O335" s="327"/>
    </row>
    <row r="336" spans="1:15" x14ac:dyDescent="0.2">
      <c r="A336" s="329"/>
      <c r="B336" s="329"/>
      <c r="C336" s="330"/>
      <c r="D336" s="330"/>
      <c r="E336" s="330"/>
      <c r="F336" s="330"/>
      <c r="G336" s="330"/>
      <c r="H336" s="330"/>
      <c r="I336" s="330"/>
      <c r="J336" s="330"/>
      <c r="K336" s="330"/>
      <c r="L336" s="329"/>
      <c r="M336" s="326"/>
      <c r="N336" s="327"/>
      <c r="O336" s="327"/>
    </row>
    <row r="337" spans="1:15" x14ac:dyDescent="0.2">
      <c r="A337" s="329"/>
      <c r="B337" s="329"/>
      <c r="C337" s="330"/>
      <c r="D337" s="330"/>
      <c r="E337" s="330"/>
      <c r="F337" s="330"/>
      <c r="G337" s="330"/>
      <c r="H337" s="330"/>
      <c r="I337" s="330"/>
      <c r="J337" s="330"/>
      <c r="K337" s="330"/>
      <c r="L337" s="329"/>
      <c r="M337" s="326"/>
      <c r="N337" s="327"/>
      <c r="O337" s="327"/>
    </row>
    <row r="338" spans="1:15" x14ac:dyDescent="0.2">
      <c r="A338" s="329"/>
      <c r="B338" s="329"/>
      <c r="C338" s="330"/>
      <c r="D338" s="330"/>
      <c r="E338" s="330"/>
      <c r="F338" s="330"/>
      <c r="G338" s="330"/>
      <c r="H338" s="330"/>
      <c r="I338" s="330"/>
      <c r="J338" s="330"/>
      <c r="K338" s="330"/>
      <c r="L338" s="329"/>
      <c r="M338" s="326"/>
      <c r="N338" s="327"/>
      <c r="O338" s="327"/>
    </row>
    <row r="339" spans="1:15" x14ac:dyDescent="0.2">
      <c r="A339" s="329"/>
      <c r="B339" s="329"/>
      <c r="C339" s="330"/>
      <c r="D339" s="330"/>
      <c r="E339" s="330"/>
      <c r="F339" s="330"/>
      <c r="G339" s="330"/>
      <c r="H339" s="330"/>
      <c r="I339" s="330"/>
      <c r="J339" s="330"/>
      <c r="K339" s="330"/>
      <c r="L339" s="329"/>
      <c r="M339" s="326"/>
      <c r="N339" s="327"/>
      <c r="O339" s="327"/>
    </row>
    <row r="340" spans="1:15" x14ac:dyDescent="0.2">
      <c r="A340" s="329"/>
      <c r="B340" s="329"/>
      <c r="C340" s="330"/>
      <c r="D340" s="330"/>
      <c r="E340" s="330"/>
      <c r="F340" s="330"/>
      <c r="G340" s="330"/>
      <c r="H340" s="330"/>
      <c r="I340" s="330"/>
      <c r="J340" s="330"/>
      <c r="K340" s="330"/>
      <c r="L340" s="329"/>
      <c r="M340" s="326"/>
      <c r="N340" s="327"/>
      <c r="O340" s="327"/>
    </row>
    <row r="341" spans="1:15" x14ac:dyDescent="0.2">
      <c r="A341" s="329"/>
      <c r="B341" s="329"/>
      <c r="C341" s="330"/>
      <c r="D341" s="330"/>
      <c r="E341" s="330"/>
      <c r="F341" s="330"/>
      <c r="G341" s="330"/>
      <c r="H341" s="330"/>
      <c r="I341" s="330"/>
      <c r="J341" s="330"/>
      <c r="K341" s="330"/>
      <c r="L341" s="329"/>
      <c r="M341" s="326"/>
      <c r="N341" s="327"/>
      <c r="O341" s="327"/>
    </row>
    <row r="342" spans="1:15" x14ac:dyDescent="0.2">
      <c r="A342" s="329"/>
      <c r="B342" s="329"/>
      <c r="C342" s="330"/>
      <c r="D342" s="330"/>
      <c r="E342" s="330"/>
      <c r="F342" s="330"/>
      <c r="G342" s="330"/>
      <c r="H342" s="330"/>
      <c r="I342" s="330"/>
      <c r="J342" s="330"/>
      <c r="K342" s="330"/>
      <c r="L342" s="329"/>
      <c r="M342" s="326"/>
      <c r="N342" s="327"/>
      <c r="O342" s="327"/>
    </row>
    <row r="343" spans="1:15" x14ac:dyDescent="0.2">
      <c r="A343" s="329"/>
      <c r="B343" s="329"/>
      <c r="C343" s="330"/>
      <c r="D343" s="330"/>
      <c r="E343" s="330"/>
      <c r="F343" s="330"/>
      <c r="G343" s="330"/>
      <c r="H343" s="330"/>
      <c r="I343" s="330"/>
      <c r="J343" s="330"/>
      <c r="K343" s="330"/>
      <c r="L343" s="329"/>
      <c r="M343" s="326"/>
      <c r="N343" s="327"/>
      <c r="O343" s="327"/>
    </row>
    <row r="344" spans="1:15" x14ac:dyDescent="0.2">
      <c r="A344" s="329"/>
      <c r="B344" s="329"/>
      <c r="C344" s="330"/>
      <c r="D344" s="330"/>
      <c r="E344" s="330"/>
      <c r="F344" s="330"/>
      <c r="G344" s="330"/>
      <c r="H344" s="330"/>
      <c r="I344" s="330"/>
      <c r="J344" s="330"/>
      <c r="K344" s="330"/>
      <c r="L344" s="329"/>
      <c r="M344" s="326"/>
      <c r="N344" s="327"/>
      <c r="O344" s="327"/>
    </row>
    <row r="345" spans="1:15" x14ac:dyDescent="0.2">
      <c r="A345" s="329"/>
      <c r="B345" s="329"/>
      <c r="C345" s="330"/>
      <c r="D345" s="330"/>
      <c r="E345" s="330"/>
      <c r="F345" s="330"/>
      <c r="G345" s="330"/>
      <c r="H345" s="330"/>
      <c r="I345" s="330"/>
      <c r="J345" s="330"/>
      <c r="K345" s="330"/>
      <c r="L345" s="329"/>
      <c r="M345" s="326"/>
      <c r="N345" s="327"/>
      <c r="O345" s="327"/>
    </row>
    <row r="346" spans="1:15" x14ac:dyDescent="0.2">
      <c r="A346" s="329"/>
      <c r="B346" s="329"/>
      <c r="C346" s="330"/>
      <c r="D346" s="330"/>
      <c r="E346" s="330"/>
      <c r="F346" s="330"/>
      <c r="G346" s="330"/>
      <c r="H346" s="330"/>
      <c r="I346" s="330"/>
      <c r="J346" s="330"/>
      <c r="K346" s="330"/>
      <c r="L346" s="329"/>
      <c r="M346" s="326"/>
      <c r="N346" s="327"/>
      <c r="O346" s="327"/>
    </row>
    <row r="347" spans="1:15" x14ac:dyDescent="0.2">
      <c r="A347" s="329"/>
      <c r="B347" s="329"/>
      <c r="C347" s="330"/>
      <c r="D347" s="330"/>
      <c r="E347" s="330"/>
      <c r="F347" s="330"/>
      <c r="G347" s="330"/>
      <c r="H347" s="330"/>
      <c r="I347" s="330"/>
      <c r="J347" s="330"/>
      <c r="K347" s="330"/>
      <c r="L347" s="329"/>
      <c r="M347" s="326"/>
      <c r="N347" s="327"/>
      <c r="O347" s="327"/>
    </row>
    <row r="348" spans="1:15" x14ac:dyDescent="0.2">
      <c r="A348" s="329"/>
      <c r="B348" s="329"/>
      <c r="C348" s="330"/>
      <c r="D348" s="330"/>
      <c r="E348" s="330"/>
      <c r="F348" s="330"/>
      <c r="G348" s="330"/>
      <c r="H348" s="330"/>
      <c r="I348" s="330"/>
      <c r="J348" s="330"/>
      <c r="K348" s="330"/>
      <c r="L348" s="329"/>
      <c r="M348" s="326"/>
      <c r="N348" s="327"/>
      <c r="O348" s="327"/>
    </row>
    <row r="349" spans="1:15" x14ac:dyDescent="0.2">
      <c r="A349" s="329"/>
      <c r="B349" s="329"/>
      <c r="C349" s="330"/>
      <c r="D349" s="330"/>
      <c r="E349" s="330"/>
      <c r="F349" s="330"/>
      <c r="G349" s="330"/>
      <c r="H349" s="330"/>
      <c r="I349" s="330"/>
      <c r="J349" s="330"/>
      <c r="K349" s="330"/>
      <c r="L349" s="329"/>
      <c r="M349" s="326"/>
      <c r="N349" s="327"/>
      <c r="O349" s="327"/>
    </row>
    <row r="350" spans="1:15" x14ac:dyDescent="0.2">
      <c r="A350" s="329"/>
      <c r="B350" s="329"/>
      <c r="C350" s="330"/>
      <c r="D350" s="330"/>
      <c r="E350" s="330"/>
      <c r="F350" s="330"/>
      <c r="G350" s="330"/>
      <c r="H350" s="330"/>
      <c r="I350" s="330"/>
      <c r="J350" s="330"/>
      <c r="K350" s="330"/>
      <c r="L350" s="329"/>
      <c r="M350" s="326"/>
      <c r="N350" s="327"/>
      <c r="O350" s="327"/>
    </row>
    <row r="351" spans="1:15" x14ac:dyDescent="0.2">
      <c r="A351" s="329"/>
      <c r="B351" s="329"/>
      <c r="C351" s="330"/>
      <c r="D351" s="330"/>
      <c r="E351" s="330"/>
      <c r="F351" s="330"/>
      <c r="G351" s="330"/>
      <c r="H351" s="330"/>
      <c r="I351" s="330"/>
      <c r="J351" s="330"/>
      <c r="K351" s="330"/>
      <c r="L351" s="329"/>
      <c r="M351" s="326"/>
      <c r="N351" s="327"/>
      <c r="O351" s="327"/>
    </row>
    <row r="352" spans="1:15" x14ac:dyDescent="0.2">
      <c r="A352" s="329"/>
      <c r="B352" s="329"/>
      <c r="C352" s="330"/>
      <c r="D352" s="330"/>
      <c r="E352" s="330"/>
      <c r="F352" s="330"/>
      <c r="G352" s="330"/>
      <c r="H352" s="330"/>
      <c r="I352" s="330"/>
      <c r="J352" s="330"/>
      <c r="K352" s="330"/>
      <c r="L352" s="329"/>
      <c r="M352" s="326"/>
      <c r="N352" s="327"/>
      <c r="O352" s="327"/>
    </row>
    <row r="353" spans="1:15" x14ac:dyDescent="0.2">
      <c r="A353" s="329"/>
      <c r="B353" s="329"/>
      <c r="C353" s="330"/>
      <c r="D353" s="330"/>
      <c r="E353" s="330"/>
      <c r="F353" s="330"/>
      <c r="G353" s="330"/>
      <c r="H353" s="330"/>
      <c r="I353" s="330"/>
      <c r="J353" s="330"/>
      <c r="K353" s="330"/>
      <c r="L353" s="329"/>
      <c r="M353" s="326"/>
      <c r="N353" s="327"/>
      <c r="O353" s="327"/>
    </row>
    <row r="354" spans="1:15" x14ac:dyDescent="0.2">
      <c r="A354" s="329"/>
      <c r="B354" s="329"/>
      <c r="C354" s="330"/>
      <c r="D354" s="330"/>
      <c r="E354" s="330"/>
      <c r="F354" s="330"/>
      <c r="G354" s="330"/>
      <c r="H354" s="330"/>
      <c r="I354" s="330"/>
      <c r="J354" s="330"/>
      <c r="K354" s="330"/>
      <c r="L354" s="329"/>
      <c r="M354" s="326"/>
      <c r="N354" s="327"/>
      <c r="O354" s="327"/>
    </row>
    <row r="355" spans="1:15" x14ac:dyDescent="0.2">
      <c r="A355" s="329"/>
      <c r="B355" s="329"/>
      <c r="C355" s="330"/>
      <c r="D355" s="330"/>
      <c r="E355" s="330"/>
      <c r="F355" s="330"/>
      <c r="G355" s="330"/>
      <c r="H355" s="330"/>
      <c r="I355" s="330"/>
      <c r="J355" s="330"/>
      <c r="K355" s="330"/>
      <c r="L355" s="329"/>
      <c r="M355" s="326"/>
      <c r="N355" s="327"/>
      <c r="O355" s="327"/>
    </row>
    <row r="356" spans="1:15" x14ac:dyDescent="0.2">
      <c r="A356" s="329"/>
      <c r="B356" s="329"/>
      <c r="C356" s="330"/>
      <c r="D356" s="330"/>
      <c r="E356" s="330"/>
      <c r="F356" s="330"/>
      <c r="G356" s="330"/>
      <c r="H356" s="330"/>
      <c r="I356" s="330"/>
      <c r="J356" s="330"/>
      <c r="K356" s="330"/>
      <c r="L356" s="329"/>
      <c r="M356" s="326"/>
      <c r="N356" s="327"/>
      <c r="O356" s="327"/>
    </row>
    <row r="357" spans="1:15" x14ac:dyDescent="0.2">
      <c r="A357" s="329"/>
      <c r="B357" s="329"/>
      <c r="C357" s="330"/>
      <c r="D357" s="330"/>
      <c r="E357" s="330"/>
      <c r="F357" s="330"/>
      <c r="G357" s="330"/>
      <c r="H357" s="330"/>
      <c r="I357" s="330"/>
      <c r="J357" s="330"/>
      <c r="K357" s="330"/>
      <c r="L357" s="329"/>
      <c r="M357" s="326"/>
      <c r="N357" s="327"/>
      <c r="O357" s="327"/>
    </row>
    <row r="358" spans="1:15" x14ac:dyDescent="0.2">
      <c r="A358" s="329"/>
      <c r="B358" s="329"/>
      <c r="C358" s="330"/>
      <c r="D358" s="330"/>
      <c r="E358" s="330"/>
      <c r="F358" s="330"/>
      <c r="G358" s="330"/>
      <c r="H358" s="330"/>
      <c r="I358" s="330"/>
      <c r="J358" s="330"/>
      <c r="K358" s="330"/>
      <c r="L358" s="329"/>
      <c r="M358" s="326"/>
      <c r="N358" s="327"/>
      <c r="O358" s="327"/>
    </row>
    <row r="359" spans="1:15" x14ac:dyDescent="0.2">
      <c r="A359" s="329"/>
      <c r="B359" s="329"/>
      <c r="C359" s="330"/>
      <c r="D359" s="330"/>
      <c r="E359" s="330"/>
      <c r="F359" s="330"/>
      <c r="G359" s="330"/>
      <c r="H359" s="330"/>
      <c r="I359" s="330"/>
      <c r="J359" s="330"/>
      <c r="K359" s="330"/>
      <c r="L359" s="329"/>
      <c r="M359" s="326"/>
      <c r="N359" s="327"/>
      <c r="O359" s="327"/>
    </row>
    <row r="360" spans="1:15" x14ac:dyDescent="0.2">
      <c r="A360" s="329"/>
      <c r="B360" s="329"/>
      <c r="C360" s="330"/>
      <c r="D360" s="330"/>
      <c r="E360" s="330"/>
      <c r="F360" s="330"/>
      <c r="G360" s="330"/>
      <c r="H360" s="330"/>
      <c r="I360" s="330"/>
      <c r="J360" s="330"/>
      <c r="K360" s="330"/>
      <c r="L360" s="329"/>
      <c r="M360" s="326"/>
      <c r="N360" s="327"/>
      <c r="O360" s="327"/>
    </row>
    <row r="361" spans="1:15" x14ac:dyDescent="0.2">
      <c r="A361" s="329"/>
      <c r="B361" s="329"/>
      <c r="C361" s="330"/>
      <c r="D361" s="330"/>
      <c r="E361" s="330"/>
      <c r="F361" s="330"/>
      <c r="G361" s="330"/>
      <c r="H361" s="330"/>
      <c r="I361" s="330"/>
      <c r="J361" s="330"/>
      <c r="K361" s="330"/>
      <c r="L361" s="329"/>
      <c r="M361" s="326"/>
      <c r="N361" s="327"/>
      <c r="O361" s="327"/>
    </row>
    <row r="362" spans="1:15" x14ac:dyDescent="0.2">
      <c r="A362" s="329"/>
      <c r="B362" s="329"/>
      <c r="C362" s="330"/>
      <c r="D362" s="330"/>
      <c r="E362" s="330"/>
      <c r="F362" s="330"/>
      <c r="G362" s="330"/>
      <c r="H362" s="330"/>
      <c r="I362" s="330"/>
      <c r="J362" s="330"/>
      <c r="K362" s="330"/>
      <c r="L362" s="329"/>
      <c r="M362" s="326"/>
      <c r="N362" s="327"/>
      <c r="O362" s="327"/>
    </row>
    <row r="363" spans="1:15" x14ac:dyDescent="0.2">
      <c r="A363" s="329"/>
      <c r="B363" s="329"/>
      <c r="C363" s="330"/>
      <c r="D363" s="330"/>
      <c r="E363" s="330"/>
      <c r="F363" s="330"/>
      <c r="G363" s="330"/>
      <c r="H363" s="330"/>
      <c r="I363" s="330"/>
      <c r="J363" s="330"/>
      <c r="K363" s="330"/>
      <c r="L363" s="329"/>
      <c r="M363" s="326"/>
      <c r="N363" s="327"/>
      <c r="O363" s="327"/>
    </row>
    <row r="364" spans="1:15" x14ac:dyDescent="0.2">
      <c r="A364" s="329"/>
      <c r="B364" s="329"/>
      <c r="C364" s="330"/>
      <c r="D364" s="330"/>
      <c r="E364" s="330"/>
      <c r="F364" s="330"/>
      <c r="G364" s="330"/>
      <c r="H364" s="330"/>
      <c r="I364" s="330"/>
      <c r="J364" s="330"/>
      <c r="K364" s="330"/>
      <c r="L364" s="329"/>
      <c r="M364" s="326"/>
      <c r="N364" s="327"/>
      <c r="O364" s="327"/>
    </row>
    <row r="365" spans="1:15" x14ac:dyDescent="0.2">
      <c r="A365" s="329"/>
      <c r="B365" s="329"/>
      <c r="C365" s="330"/>
      <c r="D365" s="330"/>
      <c r="E365" s="330"/>
      <c r="F365" s="330"/>
      <c r="G365" s="330"/>
      <c r="H365" s="330"/>
      <c r="I365" s="330"/>
      <c r="J365" s="330"/>
      <c r="K365" s="330"/>
      <c r="L365" s="329"/>
      <c r="M365" s="326"/>
      <c r="N365" s="327"/>
      <c r="O365" s="327"/>
    </row>
    <row r="366" spans="1:15" x14ac:dyDescent="0.2">
      <c r="A366" s="329"/>
      <c r="B366" s="329"/>
      <c r="C366" s="330"/>
      <c r="D366" s="330"/>
      <c r="E366" s="330"/>
      <c r="F366" s="330"/>
      <c r="G366" s="330"/>
      <c r="H366" s="330"/>
      <c r="I366" s="330"/>
      <c r="J366" s="330"/>
      <c r="K366" s="330"/>
      <c r="L366" s="329"/>
      <c r="M366" s="326"/>
      <c r="N366" s="327"/>
      <c r="O366" s="327"/>
    </row>
    <row r="367" spans="1:15" x14ac:dyDescent="0.2">
      <c r="A367" s="329"/>
      <c r="B367" s="329"/>
      <c r="C367" s="330"/>
      <c r="D367" s="330"/>
      <c r="E367" s="330"/>
      <c r="F367" s="330"/>
      <c r="G367" s="330"/>
      <c r="H367" s="330"/>
      <c r="I367" s="330"/>
      <c r="J367" s="330"/>
      <c r="K367" s="330"/>
      <c r="L367" s="329"/>
      <c r="M367" s="326"/>
      <c r="N367" s="327"/>
      <c r="O367" s="327"/>
    </row>
    <row r="368" spans="1:15" x14ac:dyDescent="0.2">
      <c r="A368" s="329"/>
      <c r="B368" s="329"/>
      <c r="C368" s="330"/>
      <c r="D368" s="330"/>
      <c r="E368" s="330"/>
      <c r="F368" s="330"/>
      <c r="G368" s="330"/>
      <c r="H368" s="330"/>
      <c r="I368" s="330"/>
      <c r="J368" s="330"/>
      <c r="K368" s="330"/>
      <c r="L368" s="329"/>
      <c r="M368" s="326"/>
      <c r="N368" s="327"/>
      <c r="O368" s="327"/>
    </row>
    <row r="369" spans="1:15" x14ac:dyDescent="0.2">
      <c r="A369" s="329"/>
      <c r="B369" s="329"/>
      <c r="C369" s="330"/>
      <c r="D369" s="330"/>
      <c r="E369" s="330"/>
      <c r="F369" s="330"/>
      <c r="G369" s="330"/>
      <c r="H369" s="330"/>
      <c r="I369" s="330"/>
      <c r="J369" s="330"/>
      <c r="K369" s="330"/>
      <c r="L369" s="329"/>
      <c r="M369" s="326"/>
      <c r="N369" s="327"/>
      <c r="O369" s="327"/>
    </row>
    <row r="370" spans="1:15" x14ac:dyDescent="0.2">
      <c r="A370" s="329"/>
      <c r="B370" s="329"/>
      <c r="C370" s="330"/>
      <c r="D370" s="330"/>
      <c r="E370" s="330"/>
      <c r="F370" s="330"/>
      <c r="G370" s="330"/>
      <c r="H370" s="330"/>
      <c r="I370" s="330"/>
      <c r="J370" s="330"/>
      <c r="K370" s="330"/>
      <c r="L370" s="329"/>
      <c r="M370" s="326"/>
      <c r="N370" s="327"/>
      <c r="O370" s="327"/>
    </row>
    <row r="371" spans="1:15" x14ac:dyDescent="0.2">
      <c r="A371" s="329"/>
      <c r="B371" s="329"/>
      <c r="C371" s="330"/>
      <c r="D371" s="330"/>
      <c r="E371" s="330"/>
      <c r="F371" s="330"/>
      <c r="G371" s="330"/>
      <c r="H371" s="330"/>
      <c r="I371" s="330"/>
      <c r="J371" s="330"/>
      <c r="K371" s="330"/>
      <c r="L371" s="329"/>
      <c r="M371" s="326"/>
      <c r="N371" s="327"/>
      <c r="O371" s="327"/>
    </row>
    <row r="372" spans="1:15" x14ac:dyDescent="0.2">
      <c r="A372" s="329"/>
      <c r="B372" s="329"/>
      <c r="C372" s="330"/>
      <c r="D372" s="330"/>
      <c r="E372" s="330"/>
      <c r="F372" s="330"/>
      <c r="G372" s="330"/>
      <c r="H372" s="330"/>
      <c r="I372" s="330"/>
      <c r="J372" s="330"/>
      <c r="K372" s="330"/>
      <c r="L372" s="329"/>
      <c r="M372" s="326"/>
      <c r="N372" s="327"/>
      <c r="O372" s="327"/>
    </row>
    <row r="373" spans="1:15" x14ac:dyDescent="0.2">
      <c r="A373" s="329"/>
      <c r="B373" s="329"/>
      <c r="C373" s="330"/>
      <c r="D373" s="330"/>
      <c r="E373" s="330"/>
      <c r="F373" s="330"/>
      <c r="G373" s="330"/>
      <c r="H373" s="330"/>
      <c r="I373" s="330"/>
      <c r="J373" s="330"/>
      <c r="K373" s="330"/>
      <c r="L373" s="329"/>
      <c r="M373" s="326"/>
      <c r="N373" s="327"/>
      <c r="O373" s="327"/>
    </row>
    <row r="374" spans="1:15" x14ac:dyDescent="0.2">
      <c r="A374" s="329"/>
      <c r="B374" s="329"/>
      <c r="C374" s="330"/>
      <c r="D374" s="330"/>
      <c r="E374" s="330"/>
      <c r="F374" s="330"/>
      <c r="G374" s="330"/>
      <c r="H374" s="330"/>
      <c r="I374" s="330"/>
      <c r="J374" s="330"/>
      <c r="K374" s="330"/>
      <c r="L374" s="329"/>
      <c r="M374" s="326"/>
      <c r="N374" s="327"/>
      <c r="O374" s="327"/>
    </row>
    <row r="375" spans="1:15" x14ac:dyDescent="0.2">
      <c r="A375" s="329"/>
      <c r="B375" s="329"/>
      <c r="C375" s="330"/>
      <c r="D375" s="330"/>
      <c r="E375" s="330"/>
      <c r="F375" s="330"/>
      <c r="G375" s="330"/>
      <c r="H375" s="330"/>
      <c r="I375" s="330"/>
      <c r="J375" s="330"/>
      <c r="K375" s="330"/>
      <c r="L375" s="329"/>
      <c r="M375" s="326"/>
      <c r="N375" s="327"/>
      <c r="O375" s="327"/>
    </row>
    <row r="376" spans="1:15" x14ac:dyDescent="0.2">
      <c r="A376" s="329"/>
      <c r="B376" s="329"/>
      <c r="C376" s="330"/>
      <c r="D376" s="330"/>
      <c r="E376" s="330"/>
      <c r="F376" s="330"/>
      <c r="G376" s="330"/>
      <c r="H376" s="330"/>
      <c r="I376" s="330"/>
      <c r="J376" s="330"/>
      <c r="K376" s="330"/>
      <c r="L376" s="329"/>
      <c r="M376" s="326"/>
      <c r="N376" s="327"/>
      <c r="O376" s="327"/>
    </row>
    <row r="377" spans="1:15" x14ac:dyDescent="0.2">
      <c r="A377" s="329"/>
      <c r="B377" s="329"/>
      <c r="C377" s="330"/>
      <c r="D377" s="330"/>
      <c r="E377" s="330"/>
      <c r="F377" s="330"/>
      <c r="G377" s="330"/>
      <c r="H377" s="330"/>
      <c r="I377" s="330"/>
      <c r="J377" s="330"/>
      <c r="K377" s="330"/>
      <c r="L377" s="329"/>
      <c r="M377" s="326"/>
      <c r="N377" s="327"/>
      <c r="O377" s="327"/>
    </row>
    <row r="378" spans="1:15" x14ac:dyDescent="0.2">
      <c r="A378" s="329"/>
      <c r="B378" s="329"/>
      <c r="C378" s="330"/>
      <c r="D378" s="330"/>
      <c r="E378" s="330"/>
      <c r="F378" s="330"/>
      <c r="G378" s="330"/>
      <c r="H378" s="330"/>
      <c r="I378" s="330"/>
      <c r="J378" s="330"/>
      <c r="K378" s="330"/>
      <c r="L378" s="329"/>
      <c r="M378" s="326"/>
      <c r="N378" s="327"/>
      <c r="O378" s="327"/>
    </row>
    <row r="379" spans="1:15" x14ac:dyDescent="0.2">
      <c r="A379" s="329"/>
      <c r="B379" s="329"/>
      <c r="C379" s="330"/>
      <c r="D379" s="330"/>
      <c r="E379" s="330"/>
      <c r="F379" s="330"/>
      <c r="G379" s="330"/>
      <c r="H379" s="330"/>
      <c r="I379" s="330"/>
      <c r="J379" s="330"/>
      <c r="K379" s="330"/>
      <c r="L379" s="329"/>
      <c r="M379" s="326"/>
      <c r="N379" s="327"/>
      <c r="O379" s="327"/>
    </row>
    <row r="380" spans="1:15" x14ac:dyDescent="0.2">
      <c r="A380" s="329"/>
      <c r="B380" s="329"/>
      <c r="C380" s="330"/>
      <c r="D380" s="330"/>
      <c r="E380" s="330"/>
      <c r="F380" s="330"/>
      <c r="G380" s="330"/>
      <c r="H380" s="330"/>
      <c r="I380" s="330"/>
      <c r="J380" s="330"/>
      <c r="K380" s="330"/>
      <c r="L380" s="329"/>
      <c r="M380" s="326"/>
      <c r="N380" s="327"/>
      <c r="O380" s="327"/>
    </row>
    <row r="381" spans="1:15" x14ac:dyDescent="0.2">
      <c r="A381" s="329"/>
      <c r="B381" s="329"/>
      <c r="C381" s="330"/>
      <c r="D381" s="330"/>
      <c r="E381" s="330"/>
      <c r="F381" s="330"/>
      <c r="G381" s="330"/>
      <c r="H381" s="330"/>
      <c r="I381" s="330"/>
      <c r="J381" s="330"/>
      <c r="K381" s="330"/>
      <c r="L381" s="329"/>
      <c r="M381" s="326"/>
      <c r="N381" s="327"/>
      <c r="O381" s="327"/>
    </row>
    <row r="382" spans="1:15" x14ac:dyDescent="0.2">
      <c r="A382" s="329"/>
      <c r="B382" s="329"/>
      <c r="C382" s="330"/>
      <c r="D382" s="330"/>
      <c r="E382" s="330"/>
      <c r="F382" s="330"/>
      <c r="G382" s="330"/>
      <c r="H382" s="330"/>
      <c r="I382" s="330"/>
      <c r="J382" s="330"/>
      <c r="K382" s="330"/>
      <c r="L382" s="329"/>
      <c r="M382" s="326"/>
      <c r="N382" s="327"/>
      <c r="O382" s="327"/>
    </row>
    <row r="383" spans="1:15" x14ac:dyDescent="0.2">
      <c r="A383" s="329"/>
      <c r="B383" s="329"/>
      <c r="C383" s="330"/>
      <c r="D383" s="330"/>
      <c r="E383" s="330"/>
      <c r="F383" s="330"/>
      <c r="G383" s="330"/>
      <c r="H383" s="330"/>
      <c r="I383" s="330"/>
      <c r="J383" s="330"/>
      <c r="K383" s="330"/>
      <c r="L383" s="329"/>
      <c r="M383" s="326"/>
      <c r="N383" s="327"/>
      <c r="O383" s="327"/>
    </row>
    <row r="384" spans="1:15" x14ac:dyDescent="0.2">
      <c r="A384" s="329"/>
      <c r="B384" s="329"/>
      <c r="C384" s="330"/>
      <c r="D384" s="330"/>
      <c r="E384" s="330"/>
      <c r="F384" s="330"/>
      <c r="G384" s="330"/>
      <c r="H384" s="330"/>
      <c r="I384" s="330"/>
      <c r="J384" s="330"/>
      <c r="K384" s="330"/>
      <c r="L384" s="329"/>
      <c r="M384" s="326"/>
      <c r="N384" s="327"/>
      <c r="O384" s="327"/>
    </row>
    <row r="385" spans="1:15" x14ac:dyDescent="0.2">
      <c r="A385" s="329"/>
      <c r="B385" s="329"/>
      <c r="C385" s="330"/>
      <c r="D385" s="330"/>
      <c r="E385" s="330"/>
      <c r="F385" s="330"/>
      <c r="G385" s="330"/>
      <c r="H385" s="330"/>
      <c r="I385" s="330"/>
      <c r="J385" s="330"/>
      <c r="K385" s="330"/>
      <c r="L385" s="329"/>
      <c r="M385" s="326"/>
      <c r="N385" s="327"/>
      <c r="O385" s="327"/>
    </row>
    <row r="386" spans="1:15" x14ac:dyDescent="0.2">
      <c r="A386" s="329"/>
      <c r="B386" s="329"/>
      <c r="C386" s="330"/>
      <c r="D386" s="330"/>
      <c r="E386" s="330"/>
      <c r="F386" s="330"/>
      <c r="G386" s="330"/>
      <c r="H386" s="330"/>
      <c r="I386" s="330"/>
      <c r="J386" s="330"/>
      <c r="K386" s="330"/>
      <c r="L386" s="329"/>
      <c r="M386" s="326"/>
      <c r="N386" s="327"/>
      <c r="O386" s="327"/>
    </row>
    <row r="387" spans="1:15" x14ac:dyDescent="0.2">
      <c r="A387" s="329"/>
      <c r="B387" s="329"/>
      <c r="C387" s="330"/>
      <c r="D387" s="330"/>
      <c r="E387" s="330"/>
      <c r="F387" s="330"/>
      <c r="G387" s="330"/>
      <c r="H387" s="330"/>
      <c r="I387" s="330"/>
      <c r="J387" s="330"/>
      <c r="K387" s="330"/>
      <c r="L387" s="329"/>
      <c r="M387" s="326"/>
      <c r="N387" s="327"/>
      <c r="O387" s="327"/>
    </row>
    <row r="388" spans="1:15" x14ac:dyDescent="0.2">
      <c r="A388" s="329"/>
      <c r="B388" s="329"/>
      <c r="C388" s="330"/>
      <c r="D388" s="330"/>
      <c r="E388" s="330"/>
      <c r="F388" s="330"/>
      <c r="G388" s="330"/>
      <c r="H388" s="330"/>
      <c r="I388" s="330"/>
      <c r="J388" s="330"/>
      <c r="K388" s="330"/>
      <c r="L388" s="329"/>
      <c r="M388" s="326"/>
      <c r="N388" s="327"/>
      <c r="O388" s="327"/>
    </row>
    <row r="389" spans="1:15" x14ac:dyDescent="0.2">
      <c r="A389" s="329"/>
      <c r="B389" s="329"/>
      <c r="C389" s="330"/>
      <c r="D389" s="330"/>
      <c r="E389" s="330"/>
      <c r="F389" s="330"/>
      <c r="G389" s="330"/>
      <c r="H389" s="330"/>
      <c r="I389" s="330"/>
      <c r="J389" s="330"/>
      <c r="K389" s="330"/>
      <c r="L389" s="329"/>
      <c r="M389" s="326"/>
      <c r="N389" s="327"/>
      <c r="O389" s="327"/>
    </row>
    <row r="390" spans="1:15" x14ac:dyDescent="0.2">
      <c r="A390" s="329"/>
      <c r="B390" s="329"/>
      <c r="C390" s="330"/>
      <c r="D390" s="330"/>
      <c r="E390" s="330"/>
      <c r="F390" s="330"/>
      <c r="G390" s="330"/>
      <c r="H390" s="330"/>
      <c r="I390" s="330"/>
      <c r="J390" s="330"/>
      <c r="K390" s="330"/>
      <c r="L390" s="329"/>
      <c r="M390" s="326"/>
      <c r="N390" s="327"/>
      <c r="O390" s="327"/>
    </row>
    <row r="391" spans="1:15" x14ac:dyDescent="0.2">
      <c r="A391" s="329"/>
      <c r="B391" s="329"/>
      <c r="C391" s="330"/>
      <c r="D391" s="330"/>
      <c r="E391" s="330"/>
      <c r="F391" s="330"/>
      <c r="G391" s="330"/>
      <c r="H391" s="330"/>
      <c r="I391" s="330"/>
      <c r="J391" s="330"/>
      <c r="K391" s="330"/>
      <c r="L391" s="329"/>
      <c r="M391" s="326"/>
      <c r="N391" s="327"/>
      <c r="O391" s="327"/>
    </row>
    <row r="392" spans="1:15" x14ac:dyDescent="0.2">
      <c r="A392" s="329"/>
      <c r="B392" s="329"/>
      <c r="C392" s="330"/>
      <c r="D392" s="330"/>
      <c r="E392" s="330"/>
      <c r="F392" s="330"/>
      <c r="G392" s="330"/>
      <c r="H392" s="330"/>
      <c r="I392" s="330"/>
      <c r="J392" s="330"/>
      <c r="K392" s="330"/>
      <c r="L392" s="329"/>
      <c r="M392" s="326"/>
      <c r="N392" s="327"/>
      <c r="O392" s="327"/>
    </row>
    <row r="393" spans="1:15" x14ac:dyDescent="0.2">
      <c r="A393" s="329"/>
      <c r="B393" s="329"/>
      <c r="C393" s="330"/>
      <c r="D393" s="330"/>
      <c r="E393" s="330"/>
      <c r="F393" s="330"/>
      <c r="G393" s="330"/>
      <c r="H393" s="330"/>
      <c r="I393" s="330"/>
      <c r="J393" s="330"/>
      <c r="K393" s="330"/>
      <c r="L393" s="329"/>
      <c r="M393" s="326"/>
      <c r="N393" s="327"/>
      <c r="O393" s="327"/>
    </row>
    <row r="394" spans="1:15" x14ac:dyDescent="0.2">
      <c r="A394" s="329"/>
      <c r="B394" s="329"/>
      <c r="C394" s="330"/>
      <c r="D394" s="330"/>
      <c r="E394" s="330"/>
      <c r="F394" s="330"/>
      <c r="G394" s="330"/>
      <c r="H394" s="330"/>
      <c r="I394" s="330"/>
      <c r="J394" s="330"/>
      <c r="K394" s="330"/>
      <c r="L394" s="329"/>
      <c r="M394" s="326"/>
      <c r="N394" s="327"/>
      <c r="O394" s="327"/>
    </row>
    <row r="395" spans="1:15" x14ac:dyDescent="0.2">
      <c r="A395" s="329"/>
      <c r="B395" s="329"/>
      <c r="C395" s="330"/>
      <c r="D395" s="330"/>
      <c r="E395" s="330"/>
      <c r="F395" s="330"/>
      <c r="G395" s="330"/>
      <c r="H395" s="330"/>
      <c r="I395" s="330"/>
      <c r="J395" s="330"/>
      <c r="K395" s="330"/>
      <c r="L395" s="329"/>
      <c r="M395" s="326"/>
      <c r="N395" s="327"/>
      <c r="O395" s="327"/>
    </row>
    <row r="396" spans="1:15" x14ac:dyDescent="0.2">
      <c r="A396" s="329"/>
      <c r="B396" s="329"/>
      <c r="C396" s="330"/>
      <c r="D396" s="330"/>
      <c r="E396" s="330"/>
      <c r="F396" s="330"/>
      <c r="G396" s="330"/>
      <c r="H396" s="330"/>
      <c r="I396" s="330"/>
      <c r="J396" s="330"/>
      <c r="K396" s="330"/>
      <c r="L396" s="329"/>
      <c r="M396" s="326"/>
      <c r="N396" s="327"/>
      <c r="O396" s="327"/>
    </row>
    <row r="397" spans="1:15" x14ac:dyDescent="0.2">
      <c r="A397" s="329"/>
      <c r="B397" s="329"/>
      <c r="C397" s="330"/>
      <c r="D397" s="330"/>
      <c r="E397" s="330"/>
      <c r="F397" s="330"/>
      <c r="G397" s="330"/>
      <c r="H397" s="330"/>
      <c r="I397" s="330"/>
      <c r="J397" s="330"/>
      <c r="K397" s="330"/>
      <c r="L397" s="329"/>
      <c r="M397" s="326"/>
      <c r="N397" s="327"/>
      <c r="O397" s="327"/>
    </row>
    <row r="398" spans="1:15" x14ac:dyDescent="0.2">
      <c r="A398" s="329"/>
      <c r="B398" s="329"/>
      <c r="C398" s="330"/>
      <c r="D398" s="330"/>
      <c r="E398" s="330"/>
      <c r="F398" s="330"/>
      <c r="G398" s="330"/>
      <c r="H398" s="330"/>
      <c r="I398" s="330"/>
      <c r="J398" s="330"/>
      <c r="K398" s="330"/>
      <c r="L398" s="329"/>
      <c r="M398" s="326"/>
      <c r="N398" s="327"/>
      <c r="O398" s="327"/>
    </row>
    <row r="399" spans="1:15" x14ac:dyDescent="0.2">
      <c r="A399" s="329"/>
      <c r="B399" s="329"/>
      <c r="C399" s="330"/>
      <c r="D399" s="330"/>
      <c r="E399" s="330"/>
      <c r="F399" s="330"/>
      <c r="G399" s="330"/>
      <c r="H399" s="330"/>
      <c r="I399" s="330"/>
      <c r="J399" s="330"/>
      <c r="K399" s="330"/>
      <c r="L399" s="329"/>
      <c r="M399" s="326"/>
      <c r="N399" s="327"/>
      <c r="O399" s="327"/>
    </row>
    <row r="400" spans="1:15" x14ac:dyDescent="0.2">
      <c r="A400" s="329"/>
      <c r="B400" s="329"/>
      <c r="C400" s="330"/>
      <c r="D400" s="330"/>
      <c r="E400" s="330"/>
      <c r="F400" s="330"/>
      <c r="G400" s="330"/>
      <c r="H400" s="330"/>
      <c r="I400" s="330"/>
      <c r="J400" s="330"/>
      <c r="K400" s="330"/>
      <c r="L400" s="329"/>
      <c r="M400" s="326"/>
      <c r="N400" s="327"/>
      <c r="O400" s="327"/>
    </row>
    <row r="401" spans="1:15" x14ac:dyDescent="0.2">
      <c r="A401" s="329"/>
      <c r="B401" s="329"/>
      <c r="C401" s="330"/>
      <c r="D401" s="330"/>
      <c r="E401" s="330"/>
      <c r="F401" s="330"/>
      <c r="G401" s="330"/>
      <c r="H401" s="330"/>
      <c r="I401" s="330"/>
      <c r="J401" s="330"/>
      <c r="K401" s="330"/>
      <c r="L401" s="329"/>
      <c r="M401" s="326"/>
      <c r="N401" s="327"/>
      <c r="O401" s="327"/>
    </row>
    <row r="402" spans="1:15" x14ac:dyDescent="0.2">
      <c r="A402" s="329"/>
      <c r="B402" s="329"/>
      <c r="C402" s="330"/>
      <c r="D402" s="330"/>
      <c r="E402" s="330"/>
      <c r="F402" s="330"/>
      <c r="G402" s="330"/>
      <c r="H402" s="330"/>
      <c r="I402" s="330"/>
      <c r="J402" s="330"/>
      <c r="K402" s="330"/>
      <c r="L402" s="329"/>
      <c r="M402" s="326"/>
      <c r="N402" s="327"/>
      <c r="O402" s="327"/>
    </row>
    <row r="403" spans="1:15" x14ac:dyDescent="0.2">
      <c r="A403" s="329"/>
      <c r="B403" s="329"/>
      <c r="C403" s="330"/>
      <c r="D403" s="330"/>
      <c r="E403" s="330"/>
      <c r="F403" s="330"/>
      <c r="G403" s="330"/>
      <c r="H403" s="330"/>
      <c r="I403" s="330"/>
      <c r="J403" s="330"/>
      <c r="K403" s="330"/>
      <c r="L403" s="329"/>
      <c r="M403" s="326"/>
      <c r="N403" s="327"/>
      <c r="O403" s="327"/>
    </row>
    <row r="404" spans="1:15" x14ac:dyDescent="0.2">
      <c r="A404" s="329"/>
      <c r="B404" s="329"/>
      <c r="C404" s="330"/>
      <c r="D404" s="330"/>
      <c r="E404" s="330"/>
      <c r="F404" s="330"/>
      <c r="G404" s="330"/>
      <c r="H404" s="330"/>
      <c r="I404" s="330"/>
      <c r="J404" s="330"/>
      <c r="K404" s="330"/>
      <c r="L404" s="329"/>
      <c r="M404" s="326"/>
      <c r="N404" s="327"/>
      <c r="O404" s="327"/>
    </row>
    <row r="405" spans="1:15" x14ac:dyDescent="0.2">
      <c r="A405" s="329"/>
      <c r="B405" s="329"/>
      <c r="C405" s="330"/>
      <c r="D405" s="330"/>
      <c r="E405" s="330"/>
      <c r="F405" s="330"/>
      <c r="G405" s="330"/>
      <c r="H405" s="330"/>
      <c r="I405" s="330"/>
      <c r="J405" s="330"/>
      <c r="K405" s="330"/>
      <c r="L405" s="329"/>
      <c r="M405" s="326"/>
      <c r="N405" s="327"/>
      <c r="O405" s="327"/>
    </row>
    <row r="406" spans="1:15" x14ac:dyDescent="0.2">
      <c r="A406" s="329"/>
      <c r="B406" s="329"/>
      <c r="C406" s="330"/>
      <c r="D406" s="330"/>
      <c r="E406" s="330"/>
      <c r="F406" s="330"/>
      <c r="G406" s="330"/>
      <c r="H406" s="330"/>
      <c r="I406" s="330"/>
      <c r="J406" s="330"/>
      <c r="K406" s="330"/>
      <c r="L406" s="329"/>
      <c r="M406" s="326"/>
      <c r="N406" s="327"/>
      <c r="O406" s="327"/>
    </row>
    <row r="407" spans="1:15" x14ac:dyDescent="0.2">
      <c r="A407" s="329"/>
      <c r="B407" s="329"/>
      <c r="C407" s="330"/>
      <c r="D407" s="330"/>
      <c r="E407" s="330"/>
      <c r="F407" s="330"/>
      <c r="G407" s="330"/>
      <c r="H407" s="330"/>
      <c r="I407" s="330"/>
      <c r="J407" s="330"/>
      <c r="K407" s="330"/>
      <c r="L407" s="329"/>
      <c r="M407" s="326"/>
      <c r="N407" s="327"/>
      <c r="O407" s="327"/>
    </row>
    <row r="408" spans="1:15" x14ac:dyDescent="0.2">
      <c r="A408" s="329"/>
      <c r="B408" s="329"/>
      <c r="C408" s="330"/>
      <c r="D408" s="330"/>
      <c r="E408" s="330"/>
      <c r="F408" s="330"/>
      <c r="G408" s="330"/>
      <c r="H408" s="330"/>
      <c r="I408" s="330"/>
      <c r="J408" s="330"/>
      <c r="K408" s="330"/>
      <c r="L408" s="329"/>
      <c r="M408" s="326"/>
      <c r="N408" s="327"/>
      <c r="O408" s="327"/>
    </row>
    <row r="409" spans="1:15" x14ac:dyDescent="0.2">
      <c r="A409" s="329"/>
      <c r="B409" s="329"/>
      <c r="C409" s="330"/>
      <c r="D409" s="330"/>
      <c r="E409" s="330"/>
      <c r="F409" s="330"/>
      <c r="G409" s="330"/>
      <c r="H409" s="330"/>
      <c r="I409" s="330"/>
      <c r="J409" s="330"/>
      <c r="K409" s="330"/>
      <c r="L409" s="329"/>
      <c r="M409" s="326"/>
      <c r="N409" s="327"/>
      <c r="O409" s="327"/>
    </row>
    <row r="410" spans="1:15" x14ac:dyDescent="0.2">
      <c r="A410" s="329"/>
      <c r="B410" s="329"/>
      <c r="C410" s="330"/>
      <c r="D410" s="330"/>
      <c r="E410" s="330"/>
      <c r="F410" s="330"/>
      <c r="G410" s="330"/>
      <c r="H410" s="330"/>
      <c r="I410" s="330"/>
      <c r="J410" s="330"/>
      <c r="K410" s="330"/>
      <c r="L410" s="329"/>
      <c r="M410" s="326"/>
      <c r="N410" s="327"/>
      <c r="O410" s="327"/>
    </row>
    <row r="411" spans="1:15" x14ac:dyDescent="0.2">
      <c r="A411" s="329"/>
      <c r="B411" s="329"/>
      <c r="C411" s="330"/>
      <c r="D411" s="330"/>
      <c r="E411" s="330"/>
      <c r="F411" s="330"/>
      <c r="G411" s="330"/>
      <c r="H411" s="330"/>
      <c r="I411" s="330"/>
      <c r="J411" s="330"/>
      <c r="K411" s="330"/>
      <c r="L411" s="329"/>
      <c r="M411" s="326"/>
      <c r="N411" s="327"/>
      <c r="O411" s="327"/>
    </row>
    <row r="412" spans="1:15" x14ac:dyDescent="0.2">
      <c r="A412" s="329"/>
      <c r="B412" s="329"/>
      <c r="C412" s="330"/>
      <c r="D412" s="330"/>
      <c r="E412" s="330"/>
      <c r="F412" s="330"/>
      <c r="G412" s="330"/>
      <c r="H412" s="330"/>
      <c r="I412" s="330"/>
      <c r="J412" s="330"/>
      <c r="K412" s="330"/>
      <c r="L412" s="329"/>
      <c r="M412" s="326"/>
      <c r="N412" s="327"/>
      <c r="O412" s="327"/>
    </row>
    <row r="413" spans="1:15" x14ac:dyDescent="0.2">
      <c r="A413" s="329"/>
      <c r="B413" s="329"/>
      <c r="C413" s="330"/>
      <c r="D413" s="330"/>
      <c r="E413" s="330"/>
      <c r="F413" s="330"/>
      <c r="G413" s="330"/>
      <c r="H413" s="330"/>
      <c r="I413" s="330"/>
      <c r="J413" s="330"/>
      <c r="K413" s="330"/>
      <c r="L413" s="329"/>
      <c r="M413" s="326"/>
      <c r="N413" s="327"/>
      <c r="O413" s="327"/>
    </row>
    <row r="414" spans="1:15" x14ac:dyDescent="0.2">
      <c r="A414" s="329"/>
      <c r="B414" s="329"/>
      <c r="C414" s="330"/>
      <c r="D414" s="330"/>
      <c r="E414" s="330"/>
      <c r="F414" s="330"/>
      <c r="G414" s="330"/>
      <c r="H414" s="330"/>
      <c r="I414" s="330"/>
      <c r="J414" s="330"/>
      <c r="K414" s="330"/>
      <c r="L414" s="329"/>
      <c r="M414" s="326"/>
      <c r="N414" s="327"/>
      <c r="O414" s="327"/>
    </row>
    <row r="415" spans="1:15" x14ac:dyDescent="0.2">
      <c r="A415" s="329"/>
      <c r="B415" s="329"/>
      <c r="C415" s="330"/>
      <c r="D415" s="330"/>
      <c r="E415" s="330"/>
      <c r="F415" s="330"/>
      <c r="G415" s="330"/>
      <c r="H415" s="330"/>
      <c r="I415" s="330"/>
      <c r="J415" s="330"/>
      <c r="K415" s="330"/>
      <c r="L415" s="329"/>
      <c r="M415" s="326"/>
      <c r="N415" s="327"/>
      <c r="O415" s="327"/>
    </row>
    <row r="416" spans="1:15" x14ac:dyDescent="0.2">
      <c r="A416" s="329"/>
      <c r="B416" s="329"/>
      <c r="C416" s="330"/>
      <c r="D416" s="330"/>
      <c r="E416" s="330"/>
      <c r="F416" s="330"/>
      <c r="G416" s="330"/>
      <c r="H416" s="330"/>
      <c r="I416" s="330"/>
      <c r="J416" s="330"/>
      <c r="K416" s="330"/>
      <c r="L416" s="329"/>
      <c r="M416" s="326"/>
      <c r="N416" s="327"/>
      <c r="O416" s="327"/>
    </row>
    <row r="417" spans="1:15" x14ac:dyDescent="0.2">
      <c r="A417" s="329"/>
      <c r="B417" s="329"/>
      <c r="C417" s="330"/>
      <c r="D417" s="330"/>
      <c r="E417" s="330"/>
      <c r="F417" s="330"/>
      <c r="G417" s="330"/>
      <c r="H417" s="330"/>
      <c r="I417" s="330"/>
      <c r="J417" s="330"/>
      <c r="K417" s="330"/>
      <c r="L417" s="329"/>
      <c r="M417" s="326"/>
      <c r="N417" s="327"/>
      <c r="O417" s="327"/>
    </row>
    <row r="418" spans="1:15" x14ac:dyDescent="0.2">
      <c r="A418" s="329"/>
      <c r="B418" s="329"/>
      <c r="C418" s="330"/>
      <c r="D418" s="330"/>
      <c r="E418" s="330"/>
      <c r="F418" s="330"/>
      <c r="G418" s="330"/>
      <c r="H418" s="330"/>
      <c r="I418" s="330"/>
      <c r="J418" s="330"/>
      <c r="K418" s="330"/>
      <c r="L418" s="329"/>
      <c r="M418" s="326"/>
      <c r="N418" s="327"/>
      <c r="O418" s="327"/>
    </row>
    <row r="419" spans="1:15" x14ac:dyDescent="0.2">
      <c r="A419" s="329"/>
      <c r="B419" s="329"/>
      <c r="C419" s="330"/>
      <c r="D419" s="330"/>
      <c r="E419" s="330"/>
      <c r="F419" s="330"/>
      <c r="G419" s="330"/>
      <c r="H419" s="330"/>
      <c r="I419" s="330"/>
      <c r="J419" s="330"/>
      <c r="K419" s="330"/>
      <c r="L419" s="329"/>
      <c r="M419" s="326"/>
      <c r="N419" s="327"/>
      <c r="O419" s="327"/>
    </row>
    <row r="420" spans="1:15" x14ac:dyDescent="0.2">
      <c r="A420" s="329"/>
      <c r="B420" s="329"/>
      <c r="C420" s="330"/>
      <c r="D420" s="330"/>
      <c r="E420" s="330"/>
      <c r="F420" s="330"/>
      <c r="G420" s="330"/>
      <c r="H420" s="330"/>
      <c r="I420" s="330"/>
      <c r="J420" s="330"/>
      <c r="K420" s="330"/>
      <c r="L420" s="329"/>
      <c r="M420" s="326"/>
      <c r="N420" s="327"/>
      <c r="O420" s="327"/>
    </row>
    <row r="421" spans="1:15" x14ac:dyDescent="0.2">
      <c r="A421" s="329"/>
      <c r="B421" s="329"/>
      <c r="C421" s="330"/>
      <c r="D421" s="330"/>
      <c r="E421" s="330"/>
      <c r="F421" s="330"/>
      <c r="G421" s="330"/>
      <c r="H421" s="330"/>
      <c r="I421" s="330"/>
      <c r="J421" s="330"/>
      <c r="K421" s="330"/>
      <c r="L421" s="329"/>
      <c r="M421" s="326"/>
      <c r="N421" s="327"/>
      <c r="O421" s="327"/>
    </row>
    <row r="422" spans="1:15" x14ac:dyDescent="0.2">
      <c r="A422" s="329"/>
      <c r="B422" s="329"/>
      <c r="C422" s="330"/>
      <c r="D422" s="330"/>
      <c r="E422" s="330"/>
      <c r="F422" s="330"/>
      <c r="G422" s="330"/>
      <c r="H422" s="330"/>
      <c r="I422" s="330"/>
      <c r="J422" s="330"/>
      <c r="K422" s="330"/>
      <c r="L422" s="329"/>
      <c r="M422" s="326"/>
      <c r="N422" s="327"/>
      <c r="O422" s="327"/>
    </row>
    <row r="423" spans="1:15" x14ac:dyDescent="0.2">
      <c r="A423" s="329"/>
      <c r="B423" s="329"/>
      <c r="C423" s="330"/>
      <c r="D423" s="330"/>
      <c r="E423" s="330"/>
      <c r="F423" s="330"/>
      <c r="G423" s="330"/>
      <c r="H423" s="330"/>
      <c r="I423" s="330"/>
      <c r="J423" s="330"/>
      <c r="K423" s="330"/>
      <c r="L423" s="329"/>
      <c r="M423" s="326"/>
      <c r="N423" s="327"/>
      <c r="O423" s="327"/>
    </row>
    <row r="424" spans="1:15" x14ac:dyDescent="0.2">
      <c r="A424" s="329"/>
      <c r="B424" s="329"/>
      <c r="C424" s="330"/>
      <c r="D424" s="330"/>
      <c r="E424" s="330"/>
      <c r="F424" s="330"/>
      <c r="G424" s="330"/>
      <c r="H424" s="330"/>
      <c r="I424" s="330"/>
      <c r="J424" s="330"/>
      <c r="K424" s="330"/>
      <c r="L424" s="329"/>
      <c r="M424" s="326"/>
      <c r="N424" s="327"/>
      <c r="O424" s="327"/>
    </row>
    <row r="425" spans="1:15" x14ac:dyDescent="0.2">
      <c r="A425" s="329"/>
      <c r="B425" s="329"/>
      <c r="C425" s="330"/>
      <c r="D425" s="330"/>
      <c r="E425" s="330"/>
      <c r="F425" s="330"/>
      <c r="G425" s="330"/>
      <c r="H425" s="330"/>
      <c r="I425" s="330"/>
      <c r="J425" s="330"/>
      <c r="K425" s="330"/>
      <c r="L425" s="329"/>
      <c r="M425" s="326"/>
      <c r="N425" s="327"/>
      <c r="O425" s="327"/>
    </row>
    <row r="426" spans="1:15" x14ac:dyDescent="0.2">
      <c r="A426" s="329"/>
      <c r="B426" s="329"/>
      <c r="C426" s="330"/>
      <c r="D426" s="330"/>
      <c r="E426" s="330"/>
      <c r="F426" s="330"/>
      <c r="G426" s="330"/>
      <c r="H426" s="330"/>
      <c r="I426" s="330"/>
      <c r="J426" s="330"/>
      <c r="K426" s="330"/>
      <c r="L426" s="329"/>
      <c r="M426" s="326"/>
      <c r="N426" s="327"/>
      <c r="O426" s="327"/>
    </row>
    <row r="427" spans="1:15" x14ac:dyDescent="0.2">
      <c r="A427" s="329"/>
      <c r="B427" s="329"/>
      <c r="C427" s="330"/>
      <c r="D427" s="330"/>
      <c r="E427" s="330"/>
      <c r="F427" s="330"/>
      <c r="G427" s="330"/>
      <c r="H427" s="330"/>
      <c r="I427" s="330"/>
      <c r="J427" s="330"/>
      <c r="K427" s="330"/>
      <c r="L427" s="329"/>
      <c r="M427" s="326"/>
      <c r="N427" s="327"/>
      <c r="O427" s="327"/>
    </row>
    <row r="428" spans="1:15" x14ac:dyDescent="0.2">
      <c r="A428" s="329"/>
      <c r="B428" s="329"/>
      <c r="C428" s="330"/>
      <c r="D428" s="330"/>
      <c r="E428" s="330"/>
      <c r="F428" s="330"/>
      <c r="G428" s="330"/>
      <c r="H428" s="330"/>
      <c r="I428" s="330"/>
      <c r="J428" s="330"/>
      <c r="K428" s="330"/>
      <c r="L428" s="329"/>
      <c r="M428" s="326"/>
      <c r="N428" s="327"/>
      <c r="O428" s="327"/>
    </row>
    <row r="429" spans="1:15" x14ac:dyDescent="0.2">
      <c r="A429" s="329"/>
      <c r="B429" s="329"/>
      <c r="C429" s="330"/>
      <c r="D429" s="330"/>
      <c r="E429" s="330"/>
      <c r="F429" s="330"/>
      <c r="G429" s="330"/>
      <c r="H429" s="330"/>
      <c r="I429" s="330"/>
      <c r="J429" s="330"/>
      <c r="K429" s="330"/>
      <c r="L429" s="329"/>
      <c r="M429" s="326"/>
      <c r="N429" s="327"/>
      <c r="O429" s="327"/>
    </row>
    <row r="430" spans="1:15" x14ac:dyDescent="0.2">
      <c r="A430" s="329"/>
      <c r="B430" s="329"/>
      <c r="C430" s="330"/>
      <c r="D430" s="330"/>
      <c r="E430" s="330"/>
      <c r="F430" s="330"/>
      <c r="G430" s="330"/>
      <c r="H430" s="330"/>
      <c r="I430" s="330"/>
      <c r="J430" s="330"/>
      <c r="K430" s="330"/>
      <c r="L430" s="329"/>
      <c r="M430" s="326"/>
      <c r="N430" s="327"/>
      <c r="O430" s="327"/>
    </row>
    <row r="431" spans="1:15" x14ac:dyDescent="0.2">
      <c r="A431" s="329"/>
      <c r="B431" s="329"/>
      <c r="C431" s="330"/>
      <c r="D431" s="330"/>
      <c r="E431" s="330"/>
      <c r="F431" s="330"/>
      <c r="G431" s="330"/>
      <c r="H431" s="330"/>
      <c r="I431" s="330"/>
      <c r="J431" s="330"/>
      <c r="K431" s="330"/>
      <c r="L431" s="329"/>
      <c r="M431" s="326"/>
      <c r="N431" s="327"/>
      <c r="O431" s="327"/>
    </row>
    <row r="432" spans="1:15" x14ac:dyDescent="0.2">
      <c r="A432" s="329"/>
      <c r="B432" s="329"/>
      <c r="C432" s="330"/>
      <c r="D432" s="330"/>
      <c r="E432" s="330"/>
      <c r="F432" s="330"/>
      <c r="G432" s="330"/>
      <c r="H432" s="330"/>
      <c r="I432" s="330"/>
      <c r="J432" s="330"/>
      <c r="K432" s="330"/>
      <c r="L432" s="329"/>
      <c r="M432" s="326"/>
      <c r="N432" s="327"/>
      <c r="O432" s="327"/>
    </row>
    <row r="433" spans="1:15" x14ac:dyDescent="0.2">
      <c r="A433" s="329"/>
      <c r="B433" s="329"/>
      <c r="C433" s="330"/>
      <c r="D433" s="330"/>
      <c r="E433" s="330"/>
      <c r="F433" s="330"/>
      <c r="G433" s="330"/>
      <c r="H433" s="330"/>
      <c r="I433" s="330"/>
      <c r="J433" s="330"/>
      <c r="K433" s="330"/>
      <c r="L433" s="329"/>
      <c r="M433" s="326"/>
      <c r="N433" s="327"/>
      <c r="O433" s="327"/>
    </row>
    <row r="434" spans="1:15" x14ac:dyDescent="0.2">
      <c r="A434" s="329"/>
      <c r="B434" s="329"/>
      <c r="C434" s="330"/>
      <c r="D434" s="330"/>
      <c r="E434" s="330"/>
      <c r="F434" s="330"/>
      <c r="G434" s="330"/>
      <c r="H434" s="330"/>
      <c r="I434" s="330"/>
      <c r="J434" s="330"/>
      <c r="K434" s="330"/>
      <c r="L434" s="329"/>
      <c r="M434" s="326"/>
      <c r="N434" s="327"/>
      <c r="O434" s="327"/>
    </row>
    <row r="435" spans="1:15" x14ac:dyDescent="0.2">
      <c r="A435" s="329"/>
      <c r="B435" s="329"/>
      <c r="C435" s="330"/>
      <c r="D435" s="330"/>
      <c r="E435" s="330"/>
      <c r="F435" s="330"/>
      <c r="G435" s="330"/>
      <c r="H435" s="330"/>
      <c r="I435" s="330"/>
      <c r="J435" s="330"/>
      <c r="K435" s="330"/>
      <c r="L435" s="329"/>
      <c r="M435" s="326"/>
      <c r="N435" s="327"/>
      <c r="O435" s="327"/>
    </row>
    <row r="436" spans="1:15" x14ac:dyDescent="0.2">
      <c r="A436" s="329"/>
      <c r="B436" s="329"/>
      <c r="C436" s="330"/>
      <c r="D436" s="330"/>
      <c r="E436" s="330"/>
      <c r="F436" s="330"/>
      <c r="G436" s="330"/>
      <c r="H436" s="330"/>
      <c r="I436" s="330"/>
      <c r="J436" s="330"/>
      <c r="K436" s="330"/>
      <c r="L436" s="329"/>
      <c r="M436" s="326"/>
      <c r="N436" s="327"/>
      <c r="O436" s="327"/>
    </row>
    <row r="437" spans="1:15" x14ac:dyDescent="0.2">
      <c r="A437" s="329"/>
      <c r="B437" s="329"/>
      <c r="C437" s="330"/>
      <c r="D437" s="330"/>
      <c r="E437" s="330"/>
      <c r="F437" s="330"/>
      <c r="G437" s="330"/>
      <c r="H437" s="330"/>
      <c r="I437" s="330"/>
      <c r="J437" s="330"/>
      <c r="K437" s="330"/>
      <c r="L437" s="329"/>
      <c r="M437" s="326"/>
      <c r="N437" s="327"/>
      <c r="O437" s="327"/>
    </row>
    <row r="438" spans="1:15" x14ac:dyDescent="0.2">
      <c r="A438" s="329"/>
      <c r="B438" s="329"/>
      <c r="C438" s="330"/>
      <c r="D438" s="330"/>
      <c r="E438" s="330"/>
      <c r="F438" s="330"/>
      <c r="G438" s="330"/>
      <c r="H438" s="330"/>
      <c r="I438" s="330"/>
      <c r="J438" s="330"/>
      <c r="K438" s="330"/>
      <c r="L438" s="329"/>
      <c r="M438" s="326"/>
      <c r="N438" s="327"/>
      <c r="O438" s="327"/>
    </row>
    <row r="439" spans="1:15" x14ac:dyDescent="0.2">
      <c r="A439" s="329"/>
      <c r="B439" s="329"/>
      <c r="C439" s="330"/>
      <c r="D439" s="330"/>
      <c r="E439" s="330"/>
      <c r="F439" s="330"/>
      <c r="G439" s="330"/>
      <c r="H439" s="330"/>
      <c r="I439" s="330"/>
      <c r="J439" s="330"/>
      <c r="K439" s="330"/>
      <c r="L439" s="329"/>
      <c r="M439" s="326"/>
      <c r="N439" s="327"/>
      <c r="O439" s="327"/>
    </row>
    <row r="440" spans="1:15" x14ac:dyDescent="0.2">
      <c r="A440" s="329"/>
      <c r="B440" s="329"/>
      <c r="C440" s="330"/>
      <c r="D440" s="330"/>
      <c r="E440" s="330"/>
      <c r="F440" s="330"/>
      <c r="G440" s="330"/>
      <c r="H440" s="330"/>
      <c r="I440" s="330"/>
      <c r="J440" s="330"/>
      <c r="K440" s="330"/>
      <c r="L440" s="329"/>
      <c r="M440" s="326"/>
      <c r="N440" s="327"/>
      <c r="O440" s="327"/>
    </row>
    <row r="441" spans="1:15" x14ac:dyDescent="0.2">
      <c r="A441" s="329"/>
      <c r="B441" s="329"/>
      <c r="C441" s="330"/>
      <c r="D441" s="330"/>
      <c r="E441" s="330"/>
      <c r="F441" s="330"/>
      <c r="G441" s="330"/>
      <c r="H441" s="330"/>
      <c r="I441" s="330"/>
      <c r="J441" s="330"/>
      <c r="K441" s="330"/>
      <c r="L441" s="329"/>
      <c r="M441" s="326"/>
      <c r="N441" s="327"/>
      <c r="O441" s="327"/>
    </row>
    <row r="442" spans="1:15" x14ac:dyDescent="0.2">
      <c r="A442" s="329"/>
      <c r="B442" s="329"/>
      <c r="C442" s="330"/>
      <c r="D442" s="330"/>
      <c r="E442" s="330"/>
      <c r="F442" s="330"/>
      <c r="G442" s="330"/>
      <c r="H442" s="330"/>
      <c r="I442" s="330"/>
      <c r="J442" s="330"/>
      <c r="K442" s="330"/>
      <c r="L442" s="329"/>
      <c r="M442" s="326"/>
      <c r="N442" s="327"/>
      <c r="O442" s="327"/>
    </row>
    <row r="443" spans="1:15" x14ac:dyDescent="0.2">
      <c r="A443" s="329"/>
      <c r="B443" s="329"/>
      <c r="C443" s="330"/>
      <c r="D443" s="330"/>
      <c r="E443" s="330"/>
      <c r="F443" s="330"/>
      <c r="G443" s="330"/>
      <c r="H443" s="330"/>
      <c r="I443" s="330"/>
      <c r="J443" s="330"/>
      <c r="K443" s="330"/>
      <c r="L443" s="329"/>
      <c r="M443" s="326"/>
      <c r="N443" s="327"/>
      <c r="O443" s="327"/>
    </row>
    <row r="444" spans="1:15" x14ac:dyDescent="0.2">
      <c r="A444" s="329"/>
      <c r="B444" s="329"/>
      <c r="C444" s="330"/>
      <c r="D444" s="330"/>
      <c r="E444" s="330"/>
      <c r="F444" s="330"/>
      <c r="G444" s="330"/>
      <c r="H444" s="330"/>
      <c r="I444" s="330"/>
      <c r="J444" s="330"/>
      <c r="K444" s="330"/>
      <c r="L444" s="329"/>
      <c r="M444" s="326"/>
      <c r="N444" s="327"/>
      <c r="O444" s="327"/>
    </row>
    <row r="445" spans="1:15" x14ac:dyDescent="0.2">
      <c r="A445" s="329"/>
      <c r="B445" s="329"/>
      <c r="C445" s="330"/>
      <c r="D445" s="330"/>
      <c r="E445" s="330"/>
      <c r="F445" s="330"/>
      <c r="G445" s="330"/>
      <c r="H445" s="330"/>
      <c r="I445" s="330"/>
      <c r="J445" s="330"/>
      <c r="K445" s="330"/>
      <c r="L445" s="329"/>
      <c r="M445" s="326"/>
      <c r="N445" s="327"/>
      <c r="O445" s="327"/>
    </row>
    <row r="446" spans="1:15" x14ac:dyDescent="0.2">
      <c r="A446" s="329"/>
      <c r="B446" s="329"/>
      <c r="C446" s="330"/>
      <c r="D446" s="330"/>
      <c r="E446" s="330"/>
      <c r="F446" s="330"/>
      <c r="G446" s="330"/>
      <c r="H446" s="330"/>
      <c r="I446" s="330"/>
      <c r="J446" s="330"/>
      <c r="K446" s="330"/>
      <c r="L446" s="329"/>
      <c r="M446" s="326"/>
      <c r="N446" s="327"/>
      <c r="O446" s="327"/>
    </row>
    <row r="447" spans="1:15" x14ac:dyDescent="0.2">
      <c r="A447" s="329"/>
      <c r="B447" s="329"/>
      <c r="C447" s="330"/>
      <c r="D447" s="330"/>
      <c r="E447" s="330"/>
      <c r="F447" s="330"/>
      <c r="G447" s="330"/>
      <c r="H447" s="330"/>
      <c r="I447" s="330"/>
      <c r="J447" s="330"/>
      <c r="K447" s="330"/>
      <c r="L447" s="329"/>
      <c r="M447" s="326"/>
      <c r="N447" s="327"/>
      <c r="O447" s="327"/>
    </row>
    <row r="448" spans="1:15" x14ac:dyDescent="0.2">
      <c r="A448" s="329"/>
      <c r="B448" s="329"/>
      <c r="C448" s="330"/>
      <c r="D448" s="330"/>
      <c r="E448" s="330"/>
      <c r="F448" s="330"/>
      <c r="G448" s="330"/>
      <c r="H448" s="330"/>
      <c r="I448" s="330"/>
      <c r="J448" s="330"/>
      <c r="K448" s="330"/>
      <c r="L448" s="329"/>
      <c r="M448" s="326"/>
      <c r="N448" s="327"/>
      <c r="O448" s="327"/>
    </row>
    <row r="449" spans="1:15" x14ac:dyDescent="0.2">
      <c r="A449" s="329"/>
      <c r="B449" s="329"/>
      <c r="C449" s="330"/>
      <c r="D449" s="330"/>
      <c r="E449" s="330"/>
      <c r="F449" s="330"/>
      <c r="G449" s="330"/>
      <c r="H449" s="330"/>
      <c r="I449" s="330"/>
      <c r="J449" s="330"/>
      <c r="K449" s="330"/>
      <c r="L449" s="329"/>
      <c r="M449" s="326"/>
      <c r="N449" s="327"/>
      <c r="O449" s="327"/>
    </row>
    <row r="450" spans="1:15" x14ac:dyDescent="0.2">
      <c r="A450" s="329"/>
      <c r="B450" s="329"/>
      <c r="C450" s="330"/>
      <c r="D450" s="330"/>
      <c r="E450" s="330"/>
      <c r="F450" s="330"/>
      <c r="G450" s="330"/>
      <c r="H450" s="330"/>
      <c r="I450" s="330"/>
      <c r="J450" s="330"/>
      <c r="K450" s="330"/>
      <c r="L450" s="329"/>
      <c r="M450" s="326"/>
      <c r="N450" s="327"/>
      <c r="O450" s="327"/>
    </row>
    <row r="451" spans="1:15" x14ac:dyDescent="0.2">
      <c r="A451" s="329"/>
      <c r="B451" s="329"/>
      <c r="C451" s="330"/>
      <c r="D451" s="330"/>
      <c r="E451" s="330"/>
      <c r="F451" s="330"/>
      <c r="G451" s="330"/>
      <c r="H451" s="330"/>
      <c r="I451" s="330"/>
      <c r="J451" s="330"/>
      <c r="K451" s="330"/>
      <c r="L451" s="329"/>
      <c r="M451" s="326"/>
      <c r="N451" s="327"/>
      <c r="O451" s="327"/>
    </row>
    <row r="452" spans="1:15" x14ac:dyDescent="0.2">
      <c r="A452" s="329"/>
      <c r="B452" s="329"/>
      <c r="C452" s="330"/>
      <c r="D452" s="330"/>
      <c r="E452" s="330"/>
      <c r="F452" s="330"/>
      <c r="G452" s="330"/>
      <c r="H452" s="330"/>
      <c r="I452" s="330"/>
      <c r="J452" s="330"/>
      <c r="K452" s="330"/>
      <c r="L452" s="329"/>
      <c r="M452" s="326"/>
      <c r="N452" s="327"/>
      <c r="O452" s="327"/>
    </row>
    <row r="453" spans="1:15" x14ac:dyDescent="0.2">
      <c r="A453" s="329"/>
      <c r="B453" s="329"/>
      <c r="C453" s="330"/>
      <c r="D453" s="330"/>
      <c r="E453" s="330"/>
      <c r="F453" s="330"/>
      <c r="G453" s="330"/>
      <c r="H453" s="330"/>
      <c r="I453" s="330"/>
      <c r="J453" s="330"/>
      <c r="K453" s="330"/>
      <c r="L453" s="329"/>
      <c r="M453" s="326"/>
      <c r="N453" s="327"/>
      <c r="O453" s="327"/>
    </row>
    <row r="454" spans="1:15" x14ac:dyDescent="0.2">
      <c r="A454" s="329"/>
      <c r="B454" s="329"/>
      <c r="C454" s="330"/>
      <c r="D454" s="330"/>
      <c r="E454" s="330"/>
      <c r="F454" s="330"/>
      <c r="G454" s="330"/>
      <c r="H454" s="330"/>
      <c r="I454" s="330"/>
      <c r="J454" s="330"/>
      <c r="K454" s="330"/>
      <c r="L454" s="329"/>
      <c r="M454" s="326"/>
      <c r="N454" s="327"/>
      <c r="O454" s="327"/>
    </row>
    <row r="455" spans="1:15" x14ac:dyDescent="0.2">
      <c r="A455" s="329"/>
      <c r="B455" s="329"/>
      <c r="C455" s="330"/>
      <c r="D455" s="330"/>
      <c r="E455" s="330"/>
      <c r="F455" s="330"/>
      <c r="G455" s="330"/>
      <c r="H455" s="330"/>
      <c r="I455" s="330"/>
      <c r="J455" s="330"/>
      <c r="K455" s="330"/>
      <c r="L455" s="329"/>
      <c r="M455" s="326"/>
      <c r="N455" s="327"/>
      <c r="O455" s="327"/>
    </row>
    <row r="456" spans="1:15" x14ac:dyDescent="0.2">
      <c r="A456" s="329"/>
      <c r="B456" s="329"/>
      <c r="C456" s="330"/>
      <c r="D456" s="330"/>
      <c r="E456" s="330"/>
      <c r="F456" s="330"/>
      <c r="G456" s="330"/>
      <c r="H456" s="330"/>
      <c r="I456" s="330"/>
      <c r="J456" s="330"/>
      <c r="K456" s="330"/>
      <c r="L456" s="329"/>
      <c r="M456" s="326"/>
      <c r="N456" s="327"/>
      <c r="O456" s="327"/>
    </row>
    <row r="457" spans="1:15" x14ac:dyDescent="0.2">
      <c r="A457" s="329"/>
      <c r="B457" s="329"/>
      <c r="C457" s="330"/>
      <c r="D457" s="330"/>
      <c r="E457" s="330"/>
      <c r="F457" s="330"/>
      <c r="G457" s="330"/>
      <c r="H457" s="330"/>
      <c r="I457" s="330"/>
      <c r="J457" s="330"/>
      <c r="K457" s="330"/>
      <c r="L457" s="329"/>
      <c r="M457" s="326"/>
      <c r="N457" s="327"/>
      <c r="O457" s="327"/>
    </row>
    <row r="458" spans="1:15" x14ac:dyDescent="0.2">
      <c r="A458" s="329"/>
      <c r="B458" s="329"/>
      <c r="C458" s="330"/>
      <c r="D458" s="330"/>
      <c r="E458" s="330"/>
      <c r="F458" s="330"/>
      <c r="G458" s="330"/>
      <c r="H458" s="330"/>
      <c r="I458" s="330"/>
      <c r="J458" s="330"/>
      <c r="K458" s="330"/>
      <c r="L458" s="329"/>
      <c r="M458" s="326"/>
      <c r="N458" s="327"/>
      <c r="O458" s="327"/>
    </row>
    <row r="459" spans="1:15" x14ac:dyDescent="0.2">
      <c r="A459" s="329"/>
      <c r="B459" s="329"/>
      <c r="C459" s="330"/>
      <c r="D459" s="330"/>
      <c r="E459" s="330"/>
      <c r="F459" s="330"/>
      <c r="G459" s="330"/>
      <c r="H459" s="330"/>
      <c r="I459" s="330"/>
      <c r="J459" s="330"/>
      <c r="K459" s="330"/>
      <c r="L459" s="329"/>
      <c r="M459" s="326"/>
      <c r="N459" s="327"/>
      <c r="O459" s="327"/>
    </row>
    <row r="460" spans="1:15" x14ac:dyDescent="0.2">
      <c r="A460" s="329"/>
      <c r="B460" s="329"/>
      <c r="C460" s="330"/>
      <c r="D460" s="330"/>
      <c r="E460" s="330"/>
      <c r="F460" s="330"/>
      <c r="G460" s="330"/>
      <c r="H460" s="330"/>
      <c r="I460" s="330"/>
      <c r="J460" s="330"/>
      <c r="K460" s="330"/>
      <c r="L460" s="329"/>
      <c r="M460" s="326"/>
      <c r="N460" s="327"/>
      <c r="O460" s="327"/>
    </row>
    <row r="461" spans="1:15" x14ac:dyDescent="0.2">
      <c r="A461" s="329"/>
      <c r="B461" s="329"/>
      <c r="C461" s="330"/>
      <c r="D461" s="330"/>
      <c r="E461" s="330"/>
      <c r="F461" s="330"/>
      <c r="G461" s="330"/>
      <c r="H461" s="330"/>
      <c r="I461" s="330"/>
      <c r="J461" s="330"/>
      <c r="K461" s="330"/>
      <c r="L461" s="329"/>
      <c r="M461" s="326"/>
      <c r="N461" s="327"/>
      <c r="O461" s="327"/>
    </row>
    <row r="462" spans="1:15" x14ac:dyDescent="0.2">
      <c r="A462" s="329"/>
      <c r="B462" s="329"/>
      <c r="C462" s="330"/>
      <c r="D462" s="330"/>
      <c r="E462" s="330"/>
      <c r="F462" s="330"/>
      <c r="G462" s="330"/>
      <c r="H462" s="330"/>
      <c r="I462" s="330"/>
      <c r="J462" s="330"/>
      <c r="K462" s="330"/>
      <c r="L462" s="329"/>
      <c r="M462" s="326"/>
      <c r="N462" s="327"/>
      <c r="O462" s="327"/>
    </row>
    <row r="463" spans="1:15" x14ac:dyDescent="0.2">
      <c r="A463" s="329"/>
      <c r="B463" s="329"/>
      <c r="C463" s="330"/>
      <c r="D463" s="330"/>
      <c r="E463" s="330"/>
      <c r="F463" s="330"/>
      <c r="G463" s="330"/>
      <c r="H463" s="330"/>
      <c r="I463" s="330"/>
      <c r="J463" s="330"/>
      <c r="K463" s="330"/>
      <c r="L463" s="329"/>
      <c r="M463" s="326"/>
      <c r="N463" s="327"/>
      <c r="O463" s="327"/>
    </row>
    <row r="464" spans="1:15" x14ac:dyDescent="0.2">
      <c r="A464" s="329"/>
      <c r="B464" s="329"/>
      <c r="C464" s="330"/>
      <c r="D464" s="330"/>
      <c r="E464" s="330"/>
      <c r="F464" s="330"/>
      <c r="G464" s="330"/>
      <c r="H464" s="330"/>
      <c r="I464" s="330"/>
      <c r="J464" s="330"/>
      <c r="K464" s="330"/>
      <c r="L464" s="329"/>
      <c r="M464" s="326"/>
      <c r="N464" s="327"/>
      <c r="O464" s="327"/>
    </row>
    <row r="465" spans="1:15" x14ac:dyDescent="0.2">
      <c r="A465" s="329"/>
      <c r="B465" s="329"/>
      <c r="C465" s="330"/>
      <c r="D465" s="330"/>
      <c r="E465" s="330"/>
      <c r="F465" s="330"/>
      <c r="G465" s="330"/>
      <c r="H465" s="330"/>
      <c r="I465" s="330"/>
      <c r="J465" s="330"/>
      <c r="K465" s="330"/>
      <c r="L465" s="329"/>
      <c r="M465" s="326"/>
      <c r="N465" s="327"/>
      <c r="O465" s="327"/>
    </row>
    <row r="466" spans="1:15" x14ac:dyDescent="0.2">
      <c r="A466" s="329"/>
      <c r="B466" s="329"/>
      <c r="C466" s="330"/>
      <c r="D466" s="330"/>
      <c r="E466" s="330"/>
      <c r="F466" s="330"/>
      <c r="G466" s="330"/>
      <c r="H466" s="330"/>
      <c r="I466" s="330"/>
      <c r="J466" s="330"/>
      <c r="K466" s="330"/>
      <c r="L466" s="329"/>
      <c r="M466" s="326"/>
      <c r="N466" s="327"/>
      <c r="O466" s="327"/>
    </row>
    <row r="467" spans="1:15" x14ac:dyDescent="0.2">
      <c r="A467" s="329"/>
      <c r="B467" s="329"/>
      <c r="C467" s="330"/>
      <c r="D467" s="330"/>
      <c r="E467" s="330"/>
      <c r="F467" s="330"/>
      <c r="G467" s="330"/>
      <c r="H467" s="330"/>
      <c r="I467" s="330"/>
      <c r="J467" s="330"/>
      <c r="K467" s="330"/>
      <c r="L467" s="329"/>
      <c r="M467" s="326"/>
      <c r="N467" s="327"/>
      <c r="O467" s="327"/>
    </row>
    <row r="468" spans="1:15" x14ac:dyDescent="0.2">
      <c r="A468" s="329"/>
      <c r="B468" s="329"/>
      <c r="C468" s="330"/>
      <c r="D468" s="330"/>
      <c r="E468" s="330"/>
      <c r="F468" s="330"/>
      <c r="G468" s="330"/>
      <c r="H468" s="330"/>
      <c r="I468" s="330"/>
      <c r="J468" s="330"/>
      <c r="K468" s="330"/>
      <c r="L468" s="329"/>
      <c r="M468" s="326"/>
      <c r="N468" s="327"/>
      <c r="O468" s="327"/>
    </row>
    <row r="469" spans="1:15" x14ac:dyDescent="0.2">
      <c r="A469" s="329"/>
      <c r="B469" s="329"/>
      <c r="C469" s="330"/>
      <c r="D469" s="330"/>
      <c r="E469" s="330"/>
      <c r="F469" s="330"/>
      <c r="G469" s="330"/>
      <c r="H469" s="330"/>
      <c r="I469" s="330"/>
      <c r="J469" s="330"/>
      <c r="K469" s="330"/>
      <c r="L469" s="329"/>
      <c r="M469" s="326"/>
      <c r="N469" s="327"/>
      <c r="O469" s="327"/>
    </row>
    <row r="470" spans="1:15" x14ac:dyDescent="0.2">
      <c r="A470" s="329"/>
      <c r="B470" s="329"/>
      <c r="C470" s="330"/>
      <c r="D470" s="330"/>
      <c r="E470" s="330"/>
      <c r="F470" s="330"/>
      <c r="G470" s="330"/>
      <c r="H470" s="330"/>
      <c r="I470" s="330"/>
      <c r="J470" s="330"/>
      <c r="K470" s="330"/>
      <c r="L470" s="329"/>
      <c r="M470" s="326"/>
      <c r="N470" s="327"/>
      <c r="O470" s="327"/>
    </row>
    <row r="471" spans="1:15" x14ac:dyDescent="0.2">
      <c r="A471" s="329"/>
      <c r="B471" s="329"/>
      <c r="C471" s="330"/>
      <c r="D471" s="330"/>
      <c r="E471" s="330"/>
      <c r="F471" s="330"/>
      <c r="G471" s="330"/>
      <c r="H471" s="330"/>
      <c r="I471" s="330"/>
      <c r="J471" s="330"/>
      <c r="K471" s="330"/>
      <c r="L471" s="329"/>
      <c r="M471" s="326"/>
      <c r="N471" s="327"/>
      <c r="O471" s="327"/>
    </row>
    <row r="472" spans="1:15" x14ac:dyDescent="0.2">
      <c r="A472" s="329"/>
      <c r="B472" s="329"/>
      <c r="C472" s="330"/>
      <c r="D472" s="330"/>
      <c r="E472" s="330"/>
      <c r="F472" s="330"/>
      <c r="G472" s="330"/>
      <c r="H472" s="330"/>
      <c r="I472" s="330"/>
      <c r="J472" s="330"/>
      <c r="K472" s="330"/>
      <c r="L472" s="329"/>
      <c r="M472" s="326"/>
      <c r="N472" s="327"/>
      <c r="O472" s="327"/>
    </row>
    <row r="473" spans="1:15" x14ac:dyDescent="0.2">
      <c r="A473" s="329"/>
      <c r="B473" s="329"/>
      <c r="C473" s="330"/>
      <c r="D473" s="330"/>
      <c r="E473" s="330"/>
      <c r="F473" s="330"/>
      <c r="G473" s="330"/>
      <c r="H473" s="330"/>
      <c r="I473" s="330"/>
      <c r="J473" s="330"/>
      <c r="K473" s="330"/>
      <c r="L473" s="329"/>
      <c r="M473" s="326"/>
      <c r="N473" s="327"/>
      <c r="O473" s="327"/>
    </row>
    <row r="474" spans="1:15" x14ac:dyDescent="0.2">
      <c r="A474" s="329"/>
      <c r="B474" s="329"/>
      <c r="C474" s="330"/>
      <c r="D474" s="330"/>
      <c r="E474" s="330"/>
      <c r="F474" s="330"/>
      <c r="G474" s="330"/>
      <c r="H474" s="330"/>
      <c r="I474" s="330"/>
      <c r="J474" s="330"/>
      <c r="K474" s="330"/>
      <c r="L474" s="329"/>
      <c r="M474" s="326"/>
      <c r="N474" s="327"/>
      <c r="O474" s="327"/>
    </row>
    <row r="475" spans="1:15" x14ac:dyDescent="0.2">
      <c r="A475" s="329"/>
      <c r="B475" s="329"/>
      <c r="C475" s="330"/>
      <c r="D475" s="330"/>
      <c r="E475" s="330"/>
      <c r="F475" s="330"/>
      <c r="G475" s="330"/>
      <c r="H475" s="330"/>
      <c r="I475" s="330"/>
      <c r="J475" s="330"/>
      <c r="K475" s="330"/>
      <c r="L475" s="329"/>
      <c r="M475" s="326"/>
      <c r="N475" s="327"/>
      <c r="O475" s="327"/>
    </row>
    <row r="476" spans="1:15" x14ac:dyDescent="0.2">
      <c r="A476" s="329"/>
      <c r="B476" s="329"/>
      <c r="C476" s="330"/>
      <c r="D476" s="330"/>
      <c r="E476" s="330"/>
      <c r="F476" s="330"/>
      <c r="G476" s="330"/>
      <c r="H476" s="330"/>
      <c r="I476" s="330"/>
      <c r="J476" s="330"/>
      <c r="K476" s="330"/>
      <c r="L476" s="329"/>
      <c r="M476" s="326"/>
      <c r="N476" s="327"/>
      <c r="O476" s="327"/>
    </row>
    <row r="477" spans="1:15" x14ac:dyDescent="0.2">
      <c r="A477" s="329"/>
      <c r="B477" s="329"/>
      <c r="C477" s="330"/>
      <c r="D477" s="330"/>
      <c r="E477" s="330"/>
      <c r="F477" s="330"/>
      <c r="G477" s="330"/>
      <c r="H477" s="330"/>
      <c r="I477" s="330"/>
      <c r="J477" s="330"/>
      <c r="K477" s="330"/>
      <c r="L477" s="329"/>
      <c r="M477" s="326"/>
      <c r="N477" s="327"/>
      <c r="O477" s="327"/>
    </row>
    <row r="478" spans="1:15" x14ac:dyDescent="0.2">
      <c r="A478" s="329"/>
      <c r="B478" s="329"/>
      <c r="C478" s="330"/>
      <c r="D478" s="330"/>
      <c r="E478" s="330"/>
      <c r="F478" s="330"/>
      <c r="G478" s="330"/>
      <c r="H478" s="330"/>
      <c r="I478" s="330"/>
      <c r="J478" s="330"/>
      <c r="K478" s="330"/>
      <c r="L478" s="329"/>
      <c r="M478" s="326"/>
      <c r="N478" s="327"/>
      <c r="O478" s="327"/>
    </row>
    <row r="479" spans="1:15" x14ac:dyDescent="0.2">
      <c r="A479" s="329"/>
      <c r="B479" s="329"/>
      <c r="C479" s="330"/>
      <c r="D479" s="330"/>
      <c r="E479" s="330"/>
      <c r="F479" s="330"/>
      <c r="G479" s="330"/>
      <c r="H479" s="330"/>
      <c r="I479" s="330"/>
      <c r="J479" s="330"/>
      <c r="K479" s="330"/>
      <c r="L479" s="329"/>
      <c r="M479" s="326"/>
      <c r="N479" s="327"/>
      <c r="O479" s="327"/>
    </row>
    <row r="480" spans="1:15" x14ac:dyDescent="0.2">
      <c r="A480" s="329"/>
      <c r="B480" s="329"/>
      <c r="C480" s="330"/>
      <c r="D480" s="330"/>
      <c r="E480" s="330"/>
      <c r="F480" s="330"/>
      <c r="G480" s="330"/>
      <c r="H480" s="330"/>
      <c r="I480" s="330"/>
      <c r="J480" s="330"/>
      <c r="K480" s="330"/>
      <c r="L480" s="329"/>
      <c r="M480" s="326"/>
      <c r="N480" s="327"/>
      <c r="O480" s="327"/>
    </row>
    <row r="481" spans="1:15" x14ac:dyDescent="0.2">
      <c r="A481" s="329"/>
      <c r="B481" s="329"/>
      <c r="C481" s="330"/>
      <c r="D481" s="330"/>
      <c r="E481" s="330"/>
      <c r="F481" s="330"/>
      <c r="G481" s="330"/>
      <c r="H481" s="330"/>
      <c r="I481" s="330"/>
      <c r="J481" s="330"/>
      <c r="K481" s="330"/>
      <c r="L481" s="329"/>
      <c r="M481" s="326"/>
      <c r="N481" s="327"/>
      <c r="O481" s="327"/>
    </row>
    <row r="482" spans="1:15" x14ac:dyDescent="0.2">
      <c r="A482" s="329"/>
      <c r="B482" s="329"/>
      <c r="C482" s="330"/>
      <c r="D482" s="330"/>
      <c r="E482" s="330"/>
      <c r="F482" s="330"/>
      <c r="G482" s="330"/>
      <c r="H482" s="330"/>
      <c r="I482" s="330"/>
      <c r="J482" s="330"/>
      <c r="K482" s="330"/>
      <c r="L482" s="329"/>
      <c r="M482" s="326"/>
      <c r="N482" s="327"/>
      <c r="O482" s="327"/>
    </row>
    <row r="483" spans="1:15" x14ac:dyDescent="0.2">
      <c r="A483" s="329"/>
      <c r="B483" s="329"/>
      <c r="C483" s="330"/>
      <c r="D483" s="330"/>
      <c r="E483" s="330"/>
      <c r="F483" s="330"/>
      <c r="G483" s="330"/>
      <c r="H483" s="330"/>
      <c r="I483" s="330"/>
      <c r="J483" s="330"/>
      <c r="K483" s="330"/>
      <c r="L483" s="329"/>
      <c r="M483" s="326"/>
      <c r="N483" s="327"/>
      <c r="O483" s="327"/>
    </row>
    <row r="484" spans="1:15" x14ac:dyDescent="0.2">
      <c r="A484" s="329"/>
      <c r="B484" s="329"/>
      <c r="C484" s="330"/>
      <c r="D484" s="330"/>
      <c r="E484" s="330"/>
      <c r="F484" s="330"/>
      <c r="G484" s="330"/>
      <c r="H484" s="330"/>
      <c r="I484" s="330"/>
      <c r="J484" s="330"/>
      <c r="K484" s="330"/>
      <c r="L484" s="329"/>
      <c r="M484" s="326"/>
      <c r="N484" s="327"/>
      <c r="O484" s="327"/>
    </row>
    <row r="485" spans="1:15" x14ac:dyDescent="0.2">
      <c r="A485" s="329"/>
      <c r="B485" s="329"/>
      <c r="C485" s="330"/>
      <c r="D485" s="330"/>
      <c r="E485" s="330"/>
      <c r="F485" s="330"/>
      <c r="G485" s="330"/>
      <c r="H485" s="330"/>
      <c r="I485" s="330"/>
      <c r="J485" s="330"/>
      <c r="K485" s="330"/>
      <c r="L485" s="329"/>
      <c r="M485" s="326"/>
      <c r="N485" s="327"/>
      <c r="O485" s="327"/>
    </row>
    <row r="486" spans="1:15" x14ac:dyDescent="0.2">
      <c r="A486" s="329"/>
      <c r="B486" s="329"/>
      <c r="C486" s="330"/>
      <c r="D486" s="330"/>
      <c r="E486" s="330"/>
      <c r="F486" s="330"/>
      <c r="G486" s="330"/>
      <c r="H486" s="330"/>
      <c r="I486" s="330"/>
      <c r="J486" s="330"/>
      <c r="K486" s="330"/>
      <c r="L486" s="329"/>
      <c r="M486" s="326"/>
      <c r="N486" s="327"/>
      <c r="O486" s="327"/>
    </row>
    <row r="487" spans="1:15" x14ac:dyDescent="0.2">
      <c r="A487" s="329"/>
      <c r="B487" s="329"/>
      <c r="C487" s="330"/>
      <c r="D487" s="330"/>
      <c r="E487" s="330"/>
      <c r="F487" s="330"/>
      <c r="G487" s="330"/>
      <c r="H487" s="330"/>
      <c r="I487" s="330"/>
      <c r="J487" s="330"/>
      <c r="K487" s="330"/>
      <c r="L487" s="329"/>
      <c r="M487" s="326"/>
      <c r="N487" s="327"/>
      <c r="O487" s="327"/>
    </row>
    <row r="488" spans="1:15" x14ac:dyDescent="0.2">
      <c r="A488" s="329"/>
      <c r="B488" s="329"/>
      <c r="C488" s="330"/>
      <c r="D488" s="330"/>
      <c r="E488" s="330"/>
      <c r="F488" s="330"/>
      <c r="G488" s="330"/>
      <c r="H488" s="330"/>
      <c r="I488" s="330"/>
      <c r="J488" s="330"/>
      <c r="K488" s="330"/>
      <c r="L488" s="329"/>
      <c r="M488" s="326"/>
      <c r="N488" s="327"/>
      <c r="O488" s="327"/>
    </row>
    <row r="489" spans="1:15" x14ac:dyDescent="0.2">
      <c r="A489" s="329"/>
      <c r="B489" s="329"/>
      <c r="C489" s="330"/>
      <c r="D489" s="330"/>
      <c r="E489" s="330"/>
      <c r="F489" s="330"/>
      <c r="G489" s="330"/>
      <c r="H489" s="330"/>
      <c r="I489" s="330"/>
      <c r="J489" s="330"/>
      <c r="K489" s="330"/>
      <c r="L489" s="329"/>
      <c r="M489" s="326"/>
      <c r="N489" s="327"/>
      <c r="O489" s="327"/>
    </row>
    <row r="490" spans="1:15" x14ac:dyDescent="0.2">
      <c r="A490" s="329"/>
      <c r="B490" s="329"/>
      <c r="C490" s="330"/>
      <c r="D490" s="330"/>
      <c r="E490" s="330"/>
      <c r="F490" s="330"/>
      <c r="G490" s="330"/>
      <c r="H490" s="330"/>
      <c r="I490" s="330"/>
      <c r="J490" s="330"/>
      <c r="K490" s="330"/>
      <c r="L490" s="329"/>
      <c r="M490" s="326"/>
      <c r="N490" s="327"/>
      <c r="O490" s="327"/>
    </row>
    <row r="491" spans="1:15" x14ac:dyDescent="0.2">
      <c r="A491" s="329"/>
      <c r="B491" s="329"/>
      <c r="C491" s="330"/>
      <c r="D491" s="330"/>
      <c r="E491" s="330"/>
      <c r="F491" s="330"/>
      <c r="G491" s="330"/>
      <c r="H491" s="330"/>
      <c r="I491" s="330"/>
      <c r="J491" s="330"/>
      <c r="K491" s="330"/>
      <c r="L491" s="329"/>
      <c r="M491" s="326"/>
      <c r="N491" s="327"/>
      <c r="O491" s="327"/>
    </row>
    <row r="492" spans="1:15" x14ac:dyDescent="0.2">
      <c r="A492" s="329"/>
      <c r="B492" s="329"/>
      <c r="C492" s="330"/>
      <c r="D492" s="330"/>
      <c r="E492" s="330"/>
      <c r="F492" s="330"/>
      <c r="G492" s="330"/>
      <c r="H492" s="330"/>
      <c r="I492" s="330"/>
      <c r="J492" s="330"/>
      <c r="K492" s="330"/>
      <c r="L492" s="329"/>
      <c r="M492" s="326"/>
      <c r="N492" s="327"/>
      <c r="O492" s="327"/>
    </row>
    <row r="493" spans="1:15" x14ac:dyDescent="0.2">
      <c r="A493" s="329"/>
      <c r="B493" s="329"/>
      <c r="C493" s="330"/>
      <c r="D493" s="330"/>
      <c r="E493" s="330"/>
      <c r="F493" s="330"/>
      <c r="G493" s="330"/>
      <c r="H493" s="330"/>
      <c r="I493" s="330"/>
      <c r="J493" s="330"/>
      <c r="K493" s="330"/>
      <c r="L493" s="329"/>
      <c r="M493" s="326"/>
      <c r="N493" s="327"/>
      <c r="O493" s="327"/>
    </row>
    <row r="494" spans="1:15" x14ac:dyDescent="0.2">
      <c r="A494" s="329"/>
      <c r="B494" s="329"/>
      <c r="C494" s="330"/>
      <c r="D494" s="330"/>
      <c r="E494" s="330"/>
      <c r="F494" s="330"/>
      <c r="G494" s="330"/>
      <c r="H494" s="330"/>
      <c r="I494" s="330"/>
      <c r="J494" s="330"/>
      <c r="K494" s="330"/>
      <c r="L494" s="329"/>
      <c r="M494" s="326"/>
      <c r="N494" s="327"/>
      <c r="O494" s="327"/>
    </row>
    <row r="495" spans="1:15" x14ac:dyDescent="0.2">
      <c r="A495" s="329"/>
      <c r="B495" s="329"/>
      <c r="C495" s="330"/>
      <c r="D495" s="330"/>
      <c r="E495" s="330"/>
      <c r="F495" s="330"/>
      <c r="G495" s="330"/>
      <c r="H495" s="330"/>
      <c r="I495" s="330"/>
      <c r="J495" s="330"/>
      <c r="K495" s="330"/>
      <c r="L495" s="329"/>
      <c r="M495" s="326"/>
      <c r="N495" s="327"/>
      <c r="O495" s="327"/>
    </row>
    <row r="496" spans="1:15" x14ac:dyDescent="0.2">
      <c r="A496" s="329"/>
      <c r="B496" s="329"/>
      <c r="C496" s="330"/>
      <c r="D496" s="330"/>
      <c r="E496" s="330"/>
      <c r="F496" s="330"/>
      <c r="G496" s="330"/>
      <c r="H496" s="330"/>
      <c r="I496" s="330"/>
      <c r="J496" s="330"/>
      <c r="K496" s="330"/>
      <c r="L496" s="329"/>
      <c r="M496" s="326"/>
      <c r="N496" s="327"/>
      <c r="O496" s="327"/>
    </row>
    <row r="497" spans="1:15" x14ac:dyDescent="0.2">
      <c r="A497" s="329"/>
      <c r="B497" s="329"/>
      <c r="C497" s="330"/>
      <c r="D497" s="330"/>
      <c r="E497" s="330"/>
      <c r="F497" s="330"/>
      <c r="G497" s="330"/>
      <c r="H497" s="330"/>
      <c r="I497" s="330"/>
      <c r="J497" s="330"/>
      <c r="K497" s="330"/>
      <c r="L497" s="329"/>
      <c r="M497" s="326"/>
      <c r="N497" s="327"/>
      <c r="O497" s="327"/>
    </row>
    <row r="498" spans="1:15" x14ac:dyDescent="0.2">
      <c r="A498" s="329"/>
      <c r="B498" s="329"/>
      <c r="C498" s="330"/>
      <c r="D498" s="330"/>
      <c r="E498" s="330"/>
      <c r="F498" s="330"/>
      <c r="G498" s="330"/>
      <c r="H498" s="330"/>
      <c r="I498" s="330"/>
      <c r="J498" s="330"/>
      <c r="K498" s="330"/>
      <c r="L498" s="329"/>
      <c r="M498" s="326"/>
      <c r="N498" s="327"/>
      <c r="O498" s="327"/>
    </row>
    <row r="499" spans="1:15" x14ac:dyDescent="0.2">
      <c r="A499" s="329"/>
      <c r="B499" s="329"/>
      <c r="C499" s="330"/>
      <c r="D499" s="330"/>
      <c r="E499" s="330"/>
      <c r="F499" s="330"/>
      <c r="G499" s="330"/>
      <c r="H499" s="330"/>
      <c r="I499" s="330"/>
      <c r="J499" s="330"/>
      <c r="K499" s="330"/>
      <c r="L499" s="329"/>
      <c r="M499" s="326"/>
      <c r="N499" s="327"/>
      <c r="O499" s="327"/>
    </row>
    <row r="500" spans="1:15" x14ac:dyDescent="0.2">
      <c r="A500" s="329"/>
      <c r="B500" s="329"/>
      <c r="C500" s="330"/>
      <c r="D500" s="330"/>
      <c r="E500" s="330"/>
      <c r="F500" s="330"/>
      <c r="G500" s="330"/>
      <c r="H500" s="330"/>
      <c r="I500" s="330"/>
      <c r="J500" s="330"/>
      <c r="K500" s="330"/>
      <c r="L500" s="329"/>
      <c r="M500" s="326"/>
      <c r="N500" s="327"/>
      <c r="O500" s="327"/>
    </row>
    <row r="501" spans="1:15" x14ac:dyDescent="0.2">
      <c r="A501" s="329"/>
      <c r="B501" s="329"/>
      <c r="C501" s="330"/>
      <c r="D501" s="330"/>
      <c r="E501" s="330"/>
      <c r="F501" s="330"/>
      <c r="G501" s="330"/>
      <c r="H501" s="330"/>
      <c r="I501" s="330"/>
      <c r="J501" s="330"/>
      <c r="K501" s="330"/>
      <c r="L501" s="329"/>
      <c r="M501" s="326"/>
      <c r="N501" s="327"/>
      <c r="O501" s="327"/>
    </row>
    <row r="502" spans="1:15" x14ac:dyDescent="0.2">
      <c r="A502" s="329"/>
      <c r="B502" s="329"/>
      <c r="C502" s="330"/>
      <c r="D502" s="330"/>
      <c r="E502" s="330"/>
      <c r="F502" s="330"/>
      <c r="G502" s="330"/>
      <c r="H502" s="330"/>
      <c r="I502" s="330"/>
      <c r="J502" s="330"/>
      <c r="K502" s="330"/>
      <c r="L502" s="329"/>
      <c r="M502" s="326"/>
      <c r="N502" s="327"/>
      <c r="O502" s="327"/>
    </row>
    <row r="503" spans="1:15" x14ac:dyDescent="0.2">
      <c r="A503" s="329"/>
      <c r="B503" s="329"/>
      <c r="C503" s="330"/>
      <c r="D503" s="330"/>
      <c r="E503" s="330"/>
      <c r="F503" s="330"/>
      <c r="G503" s="330"/>
      <c r="H503" s="330"/>
      <c r="I503" s="330"/>
      <c r="J503" s="330"/>
      <c r="K503" s="330"/>
      <c r="L503" s="329"/>
      <c r="M503" s="326"/>
      <c r="N503" s="327"/>
      <c r="O503" s="327"/>
    </row>
    <row r="504" spans="1:15" x14ac:dyDescent="0.2">
      <c r="A504" s="329"/>
      <c r="B504" s="329"/>
      <c r="C504" s="330"/>
      <c r="D504" s="330"/>
      <c r="E504" s="330"/>
      <c r="F504" s="330"/>
      <c r="G504" s="330"/>
      <c r="H504" s="330"/>
      <c r="I504" s="330"/>
      <c r="J504" s="330"/>
      <c r="K504" s="330"/>
      <c r="L504" s="329"/>
      <c r="M504" s="326"/>
      <c r="N504" s="327"/>
      <c r="O504" s="327"/>
    </row>
    <row r="505" spans="1:15" x14ac:dyDescent="0.2">
      <c r="A505" s="329"/>
      <c r="B505" s="329"/>
      <c r="C505" s="330"/>
      <c r="D505" s="330"/>
      <c r="E505" s="330"/>
      <c r="F505" s="330"/>
      <c r="G505" s="330"/>
      <c r="H505" s="330"/>
      <c r="I505" s="330"/>
      <c r="J505" s="330"/>
      <c r="K505" s="330"/>
      <c r="L505" s="329"/>
      <c r="M505" s="326"/>
      <c r="N505" s="327"/>
      <c r="O505" s="327"/>
    </row>
    <row r="506" spans="1:15" x14ac:dyDescent="0.2">
      <c r="A506" s="329"/>
      <c r="B506" s="329"/>
      <c r="C506" s="330"/>
      <c r="D506" s="330"/>
      <c r="E506" s="330"/>
      <c r="F506" s="330"/>
      <c r="G506" s="330"/>
      <c r="H506" s="330"/>
      <c r="I506" s="330"/>
      <c r="J506" s="330"/>
      <c r="K506" s="330"/>
      <c r="L506" s="329"/>
      <c r="M506" s="326"/>
      <c r="N506" s="327"/>
      <c r="O506" s="327"/>
    </row>
    <row r="507" spans="1:15" x14ac:dyDescent="0.2">
      <c r="A507" s="329"/>
      <c r="B507" s="329"/>
      <c r="C507" s="330"/>
      <c r="D507" s="330"/>
      <c r="E507" s="330"/>
      <c r="F507" s="330"/>
      <c r="G507" s="330"/>
      <c r="H507" s="330"/>
      <c r="I507" s="330"/>
      <c r="J507" s="330"/>
      <c r="K507" s="330"/>
      <c r="L507" s="329"/>
      <c r="M507" s="326"/>
      <c r="N507" s="327"/>
      <c r="O507" s="327"/>
    </row>
    <row r="508" spans="1:15" x14ac:dyDescent="0.2">
      <c r="A508" s="329"/>
      <c r="B508" s="329"/>
      <c r="C508" s="330"/>
      <c r="D508" s="330"/>
      <c r="E508" s="330"/>
      <c r="F508" s="330"/>
      <c r="G508" s="330"/>
      <c r="H508" s="330"/>
      <c r="I508" s="330"/>
      <c r="J508" s="330"/>
      <c r="K508" s="330"/>
      <c r="L508" s="329"/>
      <c r="M508" s="326"/>
      <c r="N508" s="327"/>
      <c r="O508" s="327"/>
    </row>
    <row r="509" spans="1:15" x14ac:dyDescent="0.2">
      <c r="A509" s="329"/>
      <c r="B509" s="329"/>
      <c r="C509" s="330"/>
      <c r="D509" s="330"/>
      <c r="E509" s="330"/>
      <c r="F509" s="330"/>
      <c r="G509" s="330"/>
      <c r="H509" s="330"/>
      <c r="I509" s="330"/>
      <c r="J509" s="330"/>
      <c r="K509" s="330"/>
      <c r="L509" s="329"/>
      <c r="M509" s="326"/>
      <c r="N509" s="327"/>
      <c r="O509" s="327"/>
    </row>
    <row r="510" spans="1:15" x14ac:dyDescent="0.2">
      <c r="A510" s="329"/>
      <c r="B510" s="329"/>
      <c r="C510" s="330"/>
      <c r="D510" s="330"/>
      <c r="E510" s="330"/>
      <c r="F510" s="330"/>
      <c r="G510" s="330"/>
      <c r="H510" s="330"/>
      <c r="I510" s="330"/>
      <c r="J510" s="330"/>
      <c r="K510" s="330"/>
      <c r="L510" s="329"/>
      <c r="M510" s="326"/>
      <c r="N510" s="327"/>
      <c r="O510" s="327"/>
    </row>
    <row r="511" spans="1:15" x14ac:dyDescent="0.2">
      <c r="A511" s="329"/>
      <c r="B511" s="329"/>
      <c r="C511" s="330"/>
      <c r="D511" s="330"/>
      <c r="E511" s="330"/>
      <c r="F511" s="330"/>
      <c r="G511" s="330"/>
      <c r="H511" s="330"/>
      <c r="I511" s="330"/>
      <c r="J511" s="330"/>
      <c r="K511" s="330"/>
      <c r="L511" s="329"/>
      <c r="M511" s="326"/>
      <c r="N511" s="327"/>
      <c r="O511" s="327"/>
    </row>
    <row r="512" spans="1:15" x14ac:dyDescent="0.2">
      <c r="A512" s="329"/>
      <c r="B512" s="329"/>
      <c r="C512" s="330"/>
      <c r="D512" s="330"/>
      <c r="E512" s="330"/>
      <c r="F512" s="330"/>
      <c r="G512" s="330"/>
      <c r="H512" s="330"/>
      <c r="I512" s="330"/>
      <c r="J512" s="330"/>
      <c r="K512" s="330"/>
      <c r="L512" s="329"/>
      <c r="M512" s="326"/>
      <c r="N512" s="327"/>
      <c r="O512" s="327"/>
    </row>
    <row r="513" spans="1:15" x14ac:dyDescent="0.2">
      <c r="A513" s="329"/>
      <c r="B513" s="329"/>
      <c r="C513" s="330"/>
      <c r="D513" s="330"/>
      <c r="E513" s="330"/>
      <c r="F513" s="330"/>
      <c r="G513" s="330"/>
      <c r="H513" s="330"/>
      <c r="I513" s="330"/>
      <c r="J513" s="330"/>
      <c r="K513" s="330"/>
      <c r="L513" s="329"/>
      <c r="M513" s="326"/>
      <c r="N513" s="327"/>
      <c r="O513" s="327"/>
    </row>
    <row r="514" spans="1:15" x14ac:dyDescent="0.2">
      <c r="A514" s="329"/>
      <c r="B514" s="329"/>
      <c r="C514" s="330"/>
      <c r="D514" s="330"/>
      <c r="E514" s="330"/>
      <c r="F514" s="330"/>
      <c r="G514" s="330"/>
      <c r="H514" s="330"/>
      <c r="I514" s="330"/>
      <c r="J514" s="330"/>
      <c r="K514" s="330"/>
      <c r="L514" s="329"/>
      <c r="M514" s="326"/>
      <c r="N514" s="327"/>
      <c r="O514" s="327"/>
    </row>
    <row r="515" spans="1:15" x14ac:dyDescent="0.2">
      <c r="A515" s="329"/>
      <c r="B515" s="329"/>
      <c r="C515" s="330"/>
      <c r="D515" s="330"/>
      <c r="E515" s="330"/>
      <c r="F515" s="330"/>
      <c r="G515" s="330"/>
      <c r="H515" s="330"/>
      <c r="I515" s="330"/>
      <c r="J515" s="330"/>
      <c r="K515" s="330"/>
      <c r="L515" s="329"/>
      <c r="M515" s="326"/>
      <c r="N515" s="327"/>
      <c r="O515" s="327"/>
    </row>
    <row r="516" spans="1:15" x14ac:dyDescent="0.2">
      <c r="A516" s="329"/>
      <c r="B516" s="329"/>
      <c r="C516" s="330"/>
      <c r="D516" s="330"/>
      <c r="E516" s="330"/>
      <c r="F516" s="330"/>
      <c r="G516" s="330"/>
      <c r="H516" s="330"/>
      <c r="I516" s="330"/>
      <c r="J516" s="330"/>
      <c r="K516" s="330"/>
      <c r="L516" s="329"/>
      <c r="M516" s="326"/>
      <c r="N516" s="327"/>
      <c r="O516" s="327"/>
    </row>
    <row r="517" spans="1:15" x14ac:dyDescent="0.2">
      <c r="A517" s="329"/>
      <c r="B517" s="329"/>
      <c r="C517" s="330"/>
      <c r="D517" s="330"/>
      <c r="E517" s="330"/>
      <c r="F517" s="330"/>
      <c r="G517" s="330"/>
      <c r="H517" s="330"/>
      <c r="I517" s="330"/>
      <c r="J517" s="330"/>
      <c r="K517" s="330"/>
      <c r="L517" s="329"/>
      <c r="M517" s="326"/>
      <c r="N517" s="327"/>
      <c r="O517" s="327"/>
    </row>
    <row r="518" spans="1:15" x14ac:dyDescent="0.2">
      <c r="A518" s="329"/>
      <c r="B518" s="329"/>
      <c r="C518" s="330"/>
      <c r="D518" s="330"/>
      <c r="E518" s="330"/>
      <c r="F518" s="330"/>
      <c r="G518" s="330"/>
      <c r="H518" s="330"/>
      <c r="I518" s="330"/>
      <c r="J518" s="330"/>
      <c r="K518" s="330"/>
      <c r="L518" s="329"/>
      <c r="M518" s="326"/>
      <c r="N518" s="327"/>
      <c r="O518" s="327"/>
    </row>
    <row r="519" spans="1:15" x14ac:dyDescent="0.2">
      <c r="A519" s="329"/>
      <c r="B519" s="329"/>
      <c r="C519" s="330"/>
      <c r="D519" s="330"/>
      <c r="E519" s="330"/>
      <c r="F519" s="330"/>
      <c r="G519" s="330"/>
      <c r="H519" s="330"/>
      <c r="I519" s="330"/>
      <c r="J519" s="330"/>
      <c r="K519" s="330"/>
      <c r="L519" s="329"/>
      <c r="M519" s="326"/>
      <c r="N519" s="327"/>
      <c r="O519" s="327"/>
    </row>
    <row r="520" spans="1:15" x14ac:dyDescent="0.2">
      <c r="A520" s="329"/>
      <c r="B520" s="329"/>
      <c r="C520" s="330"/>
      <c r="D520" s="330"/>
      <c r="E520" s="330"/>
      <c r="F520" s="330"/>
      <c r="G520" s="330"/>
      <c r="H520" s="330"/>
      <c r="I520" s="330"/>
      <c r="J520" s="330"/>
      <c r="K520" s="330"/>
      <c r="L520" s="329"/>
      <c r="M520" s="326"/>
      <c r="N520" s="327"/>
      <c r="O520" s="327"/>
    </row>
    <row r="521" spans="1:15" x14ac:dyDescent="0.2">
      <c r="A521" s="329"/>
      <c r="B521" s="329"/>
      <c r="C521" s="330"/>
      <c r="D521" s="330"/>
      <c r="E521" s="330"/>
      <c r="F521" s="330"/>
      <c r="G521" s="330"/>
      <c r="H521" s="330"/>
      <c r="I521" s="330"/>
      <c r="J521" s="330"/>
      <c r="K521" s="330"/>
      <c r="L521" s="329"/>
      <c r="M521" s="326"/>
      <c r="N521" s="327"/>
      <c r="O521" s="327"/>
    </row>
    <row r="522" spans="1:15" x14ac:dyDescent="0.2">
      <c r="A522" s="329"/>
      <c r="B522" s="329"/>
      <c r="C522" s="330"/>
      <c r="D522" s="330"/>
      <c r="E522" s="330"/>
      <c r="F522" s="330"/>
      <c r="G522" s="330"/>
      <c r="H522" s="330"/>
      <c r="I522" s="330"/>
      <c r="J522" s="330"/>
      <c r="K522" s="330"/>
      <c r="L522" s="329"/>
      <c r="M522" s="326"/>
      <c r="N522" s="327"/>
      <c r="O522" s="327"/>
    </row>
    <row r="523" spans="1:15" x14ac:dyDescent="0.2">
      <c r="A523" s="329"/>
      <c r="B523" s="329"/>
      <c r="C523" s="330"/>
      <c r="D523" s="330"/>
      <c r="E523" s="330"/>
      <c r="F523" s="330"/>
      <c r="G523" s="330"/>
      <c r="H523" s="330"/>
      <c r="I523" s="330"/>
      <c r="J523" s="330"/>
      <c r="K523" s="330"/>
      <c r="L523" s="329"/>
      <c r="M523" s="326"/>
      <c r="N523" s="327"/>
      <c r="O523" s="327"/>
    </row>
    <row r="524" spans="1:15" x14ac:dyDescent="0.2">
      <c r="A524" s="329"/>
      <c r="B524" s="329"/>
      <c r="C524" s="330"/>
      <c r="D524" s="330"/>
      <c r="E524" s="330"/>
      <c r="F524" s="330"/>
      <c r="G524" s="330"/>
      <c r="H524" s="330"/>
      <c r="I524" s="330"/>
      <c r="J524" s="330"/>
      <c r="K524" s="330"/>
      <c r="L524" s="329"/>
      <c r="M524" s="326"/>
      <c r="N524" s="327"/>
      <c r="O524" s="327"/>
    </row>
    <row r="525" spans="1:15" x14ac:dyDescent="0.2">
      <c r="A525" s="329"/>
      <c r="B525" s="329"/>
      <c r="C525" s="330"/>
      <c r="D525" s="330"/>
      <c r="E525" s="330"/>
      <c r="F525" s="330"/>
      <c r="G525" s="330"/>
      <c r="H525" s="330"/>
      <c r="I525" s="330"/>
      <c r="J525" s="330"/>
      <c r="K525" s="330"/>
      <c r="L525" s="329"/>
      <c r="M525" s="326"/>
      <c r="N525" s="327"/>
      <c r="O525" s="327"/>
    </row>
    <row r="526" spans="1:15" x14ac:dyDescent="0.2">
      <c r="A526" s="329"/>
      <c r="B526" s="329"/>
      <c r="C526" s="330"/>
      <c r="D526" s="330"/>
      <c r="E526" s="330"/>
      <c r="F526" s="330"/>
      <c r="G526" s="330"/>
      <c r="H526" s="330"/>
      <c r="I526" s="330"/>
      <c r="J526" s="330"/>
      <c r="K526" s="330"/>
      <c r="L526" s="329"/>
      <c r="M526" s="326"/>
      <c r="N526" s="327"/>
      <c r="O526" s="327"/>
    </row>
    <row r="527" spans="1:15" x14ac:dyDescent="0.2">
      <c r="A527" s="329"/>
      <c r="B527" s="329"/>
      <c r="C527" s="330"/>
      <c r="D527" s="330"/>
      <c r="E527" s="330"/>
      <c r="F527" s="330"/>
      <c r="G527" s="330"/>
      <c r="H527" s="330"/>
      <c r="I527" s="330"/>
      <c r="J527" s="330"/>
      <c r="K527" s="330"/>
      <c r="L527" s="329"/>
      <c r="M527" s="326"/>
      <c r="N527" s="327"/>
      <c r="O527" s="327"/>
    </row>
    <row r="528" spans="1:15" x14ac:dyDescent="0.2">
      <c r="A528" s="329"/>
      <c r="B528" s="329"/>
      <c r="C528" s="330"/>
      <c r="D528" s="330"/>
      <c r="E528" s="330"/>
      <c r="F528" s="330"/>
      <c r="G528" s="330"/>
      <c r="H528" s="330"/>
      <c r="I528" s="330"/>
      <c r="J528" s="330"/>
      <c r="K528" s="330"/>
      <c r="L528" s="329"/>
      <c r="M528" s="326"/>
      <c r="N528" s="327"/>
      <c r="O528" s="327"/>
    </row>
    <row r="529" spans="1:15" x14ac:dyDescent="0.2">
      <c r="A529" s="329"/>
      <c r="B529" s="329"/>
      <c r="C529" s="330"/>
      <c r="D529" s="330"/>
      <c r="E529" s="330"/>
      <c r="F529" s="330"/>
      <c r="G529" s="330"/>
      <c r="H529" s="330"/>
      <c r="I529" s="330"/>
      <c r="J529" s="330"/>
      <c r="K529" s="330"/>
      <c r="L529" s="329"/>
      <c r="M529" s="326"/>
      <c r="N529" s="327"/>
      <c r="O529" s="327"/>
    </row>
    <row r="530" spans="1:15" x14ac:dyDescent="0.2">
      <c r="A530" s="329"/>
      <c r="B530" s="329"/>
      <c r="C530" s="330"/>
      <c r="D530" s="330"/>
      <c r="E530" s="330"/>
      <c r="F530" s="330"/>
      <c r="G530" s="330"/>
      <c r="H530" s="330"/>
      <c r="I530" s="330"/>
      <c r="J530" s="330"/>
      <c r="K530" s="330"/>
      <c r="L530" s="329"/>
      <c r="M530" s="326"/>
      <c r="N530" s="327"/>
      <c r="O530" s="327"/>
    </row>
    <row r="531" spans="1:15" x14ac:dyDescent="0.2">
      <c r="A531" s="329"/>
      <c r="B531" s="329"/>
      <c r="C531" s="330"/>
      <c r="D531" s="330"/>
      <c r="E531" s="330"/>
      <c r="F531" s="330"/>
      <c r="G531" s="330"/>
      <c r="H531" s="330"/>
      <c r="I531" s="330"/>
      <c r="J531" s="330"/>
      <c r="K531" s="330"/>
      <c r="L531" s="329"/>
      <c r="M531" s="326"/>
      <c r="N531" s="327"/>
      <c r="O531" s="327"/>
    </row>
    <row r="532" spans="1:15" x14ac:dyDescent="0.2">
      <c r="A532" s="329"/>
      <c r="B532" s="329"/>
      <c r="C532" s="330"/>
      <c r="D532" s="330"/>
      <c r="E532" s="330"/>
      <c r="F532" s="330"/>
      <c r="G532" s="330"/>
      <c r="H532" s="330"/>
      <c r="I532" s="330"/>
      <c r="J532" s="330"/>
      <c r="K532" s="330"/>
      <c r="L532" s="329"/>
      <c r="M532" s="326"/>
      <c r="N532" s="327"/>
      <c r="O532" s="327"/>
    </row>
    <row r="533" spans="1:15" x14ac:dyDescent="0.2">
      <c r="A533" s="329"/>
      <c r="B533" s="329"/>
      <c r="C533" s="330"/>
      <c r="D533" s="330"/>
      <c r="E533" s="330"/>
      <c r="F533" s="330"/>
      <c r="G533" s="330"/>
      <c r="H533" s="330"/>
      <c r="I533" s="330"/>
      <c r="J533" s="330"/>
      <c r="K533" s="330"/>
      <c r="L533" s="329"/>
      <c r="M533" s="326"/>
      <c r="N533" s="327"/>
      <c r="O533" s="327"/>
    </row>
    <row r="534" spans="1:15" x14ac:dyDescent="0.2">
      <c r="A534" s="329"/>
      <c r="B534" s="329"/>
      <c r="C534" s="330"/>
      <c r="D534" s="330"/>
      <c r="E534" s="330"/>
      <c r="F534" s="330"/>
      <c r="G534" s="330"/>
      <c r="H534" s="330"/>
      <c r="I534" s="330"/>
      <c r="J534" s="330"/>
      <c r="K534" s="330"/>
      <c r="L534" s="329"/>
      <c r="M534" s="326"/>
      <c r="N534" s="327"/>
      <c r="O534" s="327"/>
    </row>
    <row r="535" spans="1:15" x14ac:dyDescent="0.2">
      <c r="A535" s="329"/>
      <c r="B535" s="329"/>
      <c r="C535" s="330"/>
      <c r="D535" s="330"/>
      <c r="E535" s="330"/>
      <c r="F535" s="330"/>
      <c r="G535" s="330"/>
      <c r="H535" s="330"/>
      <c r="I535" s="330"/>
      <c r="J535" s="330"/>
      <c r="K535" s="330"/>
      <c r="L535" s="329"/>
      <c r="M535" s="326"/>
      <c r="N535" s="327"/>
      <c r="O535" s="327"/>
    </row>
    <row r="536" spans="1:15" x14ac:dyDescent="0.2">
      <c r="A536" s="329"/>
      <c r="B536" s="329"/>
      <c r="C536" s="330"/>
      <c r="D536" s="330"/>
      <c r="E536" s="330"/>
      <c r="F536" s="330"/>
      <c r="G536" s="330"/>
      <c r="H536" s="330"/>
      <c r="I536" s="330"/>
      <c r="J536" s="330"/>
      <c r="K536" s="330"/>
      <c r="L536" s="329"/>
      <c r="M536" s="326"/>
      <c r="N536" s="327"/>
      <c r="O536" s="327"/>
    </row>
    <row r="537" spans="1:15" x14ac:dyDescent="0.2">
      <c r="A537" s="329"/>
      <c r="B537" s="329"/>
      <c r="C537" s="330"/>
      <c r="D537" s="330"/>
      <c r="E537" s="330"/>
      <c r="F537" s="330"/>
      <c r="G537" s="330"/>
      <c r="H537" s="330"/>
      <c r="I537" s="330"/>
      <c r="J537" s="330"/>
      <c r="K537" s="330"/>
      <c r="L537" s="329"/>
      <c r="M537" s="326"/>
      <c r="N537" s="327"/>
      <c r="O537" s="327"/>
    </row>
    <row r="538" spans="1:15" x14ac:dyDescent="0.2">
      <c r="A538" s="329"/>
      <c r="B538" s="329"/>
      <c r="C538" s="330"/>
      <c r="D538" s="330"/>
      <c r="E538" s="330"/>
      <c r="F538" s="330"/>
      <c r="G538" s="330"/>
      <c r="H538" s="330"/>
      <c r="I538" s="330"/>
      <c r="J538" s="330"/>
      <c r="K538" s="330"/>
      <c r="L538" s="329"/>
      <c r="M538" s="326"/>
      <c r="N538" s="327"/>
      <c r="O538" s="327"/>
    </row>
    <row r="539" spans="1:15" x14ac:dyDescent="0.2">
      <c r="A539" s="329"/>
      <c r="B539" s="329"/>
      <c r="C539" s="330"/>
      <c r="D539" s="330"/>
      <c r="E539" s="330"/>
      <c r="F539" s="330"/>
      <c r="G539" s="330"/>
      <c r="H539" s="330"/>
      <c r="I539" s="330"/>
      <c r="J539" s="330"/>
      <c r="K539" s="330"/>
      <c r="L539" s="329"/>
      <c r="M539" s="326"/>
      <c r="N539" s="327"/>
      <c r="O539" s="327"/>
    </row>
    <row r="540" spans="1:15" x14ac:dyDescent="0.2">
      <c r="A540" s="329"/>
      <c r="B540" s="329"/>
      <c r="C540" s="330"/>
      <c r="D540" s="330"/>
      <c r="E540" s="330"/>
      <c r="F540" s="330"/>
      <c r="G540" s="330"/>
      <c r="H540" s="330"/>
      <c r="I540" s="330"/>
      <c r="J540" s="330"/>
      <c r="K540" s="330"/>
      <c r="L540" s="329"/>
      <c r="M540" s="326"/>
      <c r="N540" s="327"/>
      <c r="O540" s="327"/>
    </row>
    <row r="541" spans="1:15" x14ac:dyDescent="0.2">
      <c r="A541" s="329"/>
      <c r="B541" s="329"/>
      <c r="C541" s="330"/>
      <c r="D541" s="330"/>
      <c r="E541" s="330"/>
      <c r="F541" s="330"/>
      <c r="G541" s="330"/>
      <c r="H541" s="330"/>
      <c r="I541" s="330"/>
      <c r="J541" s="330"/>
      <c r="K541" s="330"/>
      <c r="L541" s="329"/>
      <c r="M541" s="326"/>
      <c r="N541" s="327"/>
      <c r="O541" s="327"/>
    </row>
    <row r="542" spans="1:15" x14ac:dyDescent="0.2">
      <c r="A542" s="329"/>
      <c r="B542" s="329"/>
      <c r="C542" s="330"/>
      <c r="D542" s="330"/>
      <c r="E542" s="330"/>
      <c r="F542" s="330"/>
      <c r="G542" s="330"/>
      <c r="H542" s="330"/>
      <c r="I542" s="330"/>
      <c r="J542" s="330"/>
      <c r="K542" s="330"/>
      <c r="L542" s="329"/>
      <c r="M542" s="326"/>
      <c r="N542" s="327"/>
      <c r="O542" s="327"/>
    </row>
    <row r="543" spans="1:15" x14ac:dyDescent="0.2">
      <c r="A543" s="329"/>
      <c r="B543" s="329"/>
      <c r="C543" s="330"/>
      <c r="D543" s="330"/>
      <c r="E543" s="330"/>
      <c r="F543" s="330"/>
      <c r="G543" s="330"/>
      <c r="H543" s="330"/>
      <c r="I543" s="330"/>
      <c r="J543" s="330"/>
      <c r="K543" s="330"/>
      <c r="L543" s="329"/>
      <c r="M543" s="326"/>
      <c r="N543" s="327"/>
      <c r="O543" s="327"/>
    </row>
    <row r="544" spans="1:15" x14ac:dyDescent="0.2">
      <c r="A544" s="329"/>
      <c r="B544" s="329"/>
      <c r="C544" s="330"/>
      <c r="D544" s="330"/>
      <c r="E544" s="330"/>
      <c r="F544" s="330"/>
      <c r="G544" s="330"/>
      <c r="H544" s="330"/>
      <c r="I544" s="330"/>
      <c r="J544" s="330"/>
      <c r="K544" s="330"/>
      <c r="L544" s="329"/>
      <c r="M544" s="326"/>
      <c r="N544" s="327"/>
      <c r="O544" s="327"/>
    </row>
    <row r="545" spans="1:15" x14ac:dyDescent="0.2">
      <c r="A545" s="329"/>
      <c r="B545" s="329"/>
      <c r="C545" s="330"/>
      <c r="D545" s="330"/>
      <c r="E545" s="330"/>
      <c r="F545" s="330"/>
      <c r="G545" s="330"/>
      <c r="H545" s="330"/>
      <c r="I545" s="330"/>
      <c r="J545" s="330"/>
      <c r="K545" s="330"/>
      <c r="L545" s="329"/>
      <c r="M545" s="326"/>
      <c r="N545" s="327"/>
      <c r="O545" s="327"/>
    </row>
    <row r="546" spans="1:15" x14ac:dyDescent="0.2">
      <c r="A546" s="329"/>
      <c r="B546" s="329"/>
      <c r="C546" s="330"/>
      <c r="D546" s="330"/>
      <c r="E546" s="330"/>
      <c r="F546" s="330"/>
      <c r="G546" s="330"/>
      <c r="H546" s="330"/>
      <c r="I546" s="330"/>
      <c r="J546" s="330"/>
      <c r="K546" s="330"/>
      <c r="L546" s="329"/>
      <c r="M546" s="326"/>
      <c r="N546" s="327"/>
      <c r="O546" s="327"/>
    </row>
    <row r="547" spans="1:15" x14ac:dyDescent="0.2">
      <c r="A547" s="329"/>
      <c r="B547" s="329"/>
      <c r="C547" s="330"/>
      <c r="D547" s="330"/>
      <c r="E547" s="330"/>
      <c r="F547" s="330"/>
      <c r="G547" s="330"/>
      <c r="H547" s="330"/>
      <c r="I547" s="330"/>
      <c r="J547" s="330"/>
      <c r="K547" s="330"/>
      <c r="L547" s="329"/>
      <c r="M547" s="326"/>
      <c r="N547" s="327"/>
      <c r="O547" s="327"/>
    </row>
    <row r="548" spans="1:15" x14ac:dyDescent="0.2">
      <c r="A548" s="329"/>
      <c r="B548" s="329"/>
      <c r="C548" s="330"/>
      <c r="D548" s="330"/>
      <c r="E548" s="330"/>
      <c r="F548" s="330"/>
      <c r="G548" s="330"/>
      <c r="H548" s="330"/>
      <c r="I548" s="330"/>
      <c r="J548" s="330"/>
      <c r="K548" s="330"/>
      <c r="L548" s="329"/>
      <c r="M548" s="326"/>
      <c r="N548" s="327"/>
      <c r="O548" s="327"/>
    </row>
    <row r="549" spans="1:15" x14ac:dyDescent="0.2">
      <c r="A549" s="329"/>
      <c r="B549" s="329"/>
      <c r="C549" s="330"/>
      <c r="D549" s="330"/>
      <c r="E549" s="330"/>
      <c r="F549" s="330"/>
      <c r="G549" s="330"/>
      <c r="H549" s="330"/>
      <c r="I549" s="330"/>
      <c r="J549" s="330"/>
      <c r="K549" s="330"/>
      <c r="L549" s="329"/>
      <c r="M549" s="326"/>
      <c r="N549" s="327"/>
      <c r="O549" s="327"/>
    </row>
    <row r="550" spans="1:15" x14ac:dyDescent="0.2">
      <c r="A550" s="329"/>
      <c r="B550" s="329"/>
      <c r="C550" s="330"/>
      <c r="D550" s="330"/>
      <c r="E550" s="330"/>
      <c r="F550" s="330"/>
      <c r="G550" s="330"/>
      <c r="H550" s="330"/>
      <c r="I550" s="330"/>
      <c r="J550" s="330"/>
      <c r="K550" s="330"/>
      <c r="L550" s="329"/>
      <c r="M550" s="326"/>
      <c r="N550" s="327"/>
      <c r="O550" s="327"/>
    </row>
    <row r="551" spans="1:15" x14ac:dyDescent="0.2">
      <c r="A551" s="329"/>
      <c r="B551" s="329"/>
      <c r="C551" s="330"/>
      <c r="D551" s="330"/>
      <c r="E551" s="330"/>
      <c r="F551" s="330"/>
      <c r="G551" s="330"/>
      <c r="H551" s="330"/>
      <c r="I551" s="330"/>
      <c r="J551" s="330"/>
      <c r="K551" s="330"/>
      <c r="L551" s="329"/>
      <c r="M551" s="326"/>
      <c r="N551" s="327"/>
      <c r="O551" s="327"/>
    </row>
    <row r="552" spans="1:15" x14ac:dyDescent="0.2">
      <c r="A552" s="329"/>
      <c r="B552" s="329"/>
      <c r="C552" s="330"/>
      <c r="D552" s="330"/>
      <c r="E552" s="330"/>
      <c r="F552" s="330"/>
      <c r="G552" s="330"/>
      <c r="H552" s="330"/>
      <c r="I552" s="330"/>
      <c r="J552" s="330"/>
      <c r="K552" s="330"/>
      <c r="L552" s="329"/>
      <c r="M552" s="326"/>
      <c r="N552" s="327"/>
      <c r="O552" s="327"/>
    </row>
    <row r="553" spans="1:15" x14ac:dyDescent="0.2">
      <c r="A553" s="329"/>
      <c r="B553" s="329"/>
      <c r="C553" s="330"/>
      <c r="D553" s="330"/>
      <c r="E553" s="330"/>
      <c r="F553" s="330"/>
      <c r="G553" s="330"/>
      <c r="H553" s="330"/>
      <c r="I553" s="330"/>
      <c r="J553" s="330"/>
      <c r="K553" s="330"/>
      <c r="L553" s="329"/>
      <c r="M553" s="326"/>
      <c r="N553" s="327"/>
      <c r="O553" s="327"/>
    </row>
    <row r="554" spans="1:15" x14ac:dyDescent="0.2">
      <c r="A554" s="329"/>
      <c r="B554" s="329"/>
      <c r="C554" s="330"/>
      <c r="D554" s="330"/>
      <c r="E554" s="330"/>
      <c r="F554" s="330"/>
      <c r="G554" s="330"/>
      <c r="H554" s="330"/>
      <c r="I554" s="330"/>
      <c r="J554" s="330"/>
      <c r="K554" s="330"/>
      <c r="L554" s="329"/>
      <c r="M554" s="326"/>
      <c r="N554" s="327"/>
      <c r="O554" s="327"/>
    </row>
    <row r="555" spans="1:15" x14ac:dyDescent="0.2">
      <c r="A555" s="329"/>
      <c r="B555" s="329"/>
      <c r="C555" s="330"/>
      <c r="D555" s="330"/>
      <c r="E555" s="330"/>
      <c r="F555" s="330"/>
      <c r="G555" s="330"/>
      <c r="H555" s="330"/>
      <c r="I555" s="330"/>
      <c r="J555" s="330"/>
      <c r="K555" s="330"/>
      <c r="L555" s="329"/>
      <c r="M555" s="326"/>
      <c r="N555" s="327"/>
      <c r="O555" s="327"/>
    </row>
    <row r="556" spans="1:15" x14ac:dyDescent="0.2">
      <c r="A556" s="329"/>
      <c r="B556" s="329"/>
      <c r="C556" s="330"/>
      <c r="D556" s="330"/>
      <c r="E556" s="330"/>
      <c r="F556" s="330"/>
      <c r="G556" s="330"/>
      <c r="H556" s="330"/>
      <c r="I556" s="330"/>
      <c r="J556" s="330"/>
      <c r="K556" s="330"/>
      <c r="L556" s="329"/>
      <c r="M556" s="326"/>
      <c r="N556" s="327"/>
      <c r="O556" s="327"/>
    </row>
    <row r="557" spans="1:15" x14ac:dyDescent="0.2">
      <c r="A557" s="329"/>
      <c r="B557" s="329"/>
      <c r="C557" s="330"/>
      <c r="D557" s="330"/>
      <c r="E557" s="330"/>
      <c r="F557" s="330"/>
      <c r="G557" s="330"/>
      <c r="H557" s="330"/>
      <c r="I557" s="330"/>
      <c r="J557" s="330"/>
      <c r="K557" s="330"/>
      <c r="L557" s="329"/>
      <c r="M557" s="326"/>
      <c r="N557" s="327"/>
      <c r="O557" s="327"/>
    </row>
    <row r="558" spans="1:15" x14ac:dyDescent="0.2">
      <c r="A558" s="329"/>
      <c r="B558" s="329"/>
      <c r="C558" s="330"/>
      <c r="D558" s="330"/>
      <c r="E558" s="330"/>
      <c r="F558" s="330"/>
      <c r="G558" s="330"/>
      <c r="H558" s="330"/>
      <c r="I558" s="330"/>
      <c r="J558" s="330"/>
      <c r="K558" s="330"/>
      <c r="L558" s="329"/>
      <c r="M558" s="326"/>
      <c r="N558" s="327"/>
      <c r="O558" s="327"/>
    </row>
    <row r="559" spans="1:15" x14ac:dyDescent="0.2">
      <c r="A559" s="329"/>
      <c r="B559" s="329"/>
      <c r="C559" s="330"/>
      <c r="D559" s="330"/>
      <c r="E559" s="330"/>
      <c r="F559" s="330"/>
      <c r="G559" s="330"/>
      <c r="H559" s="330"/>
      <c r="I559" s="330"/>
      <c r="J559" s="330"/>
      <c r="K559" s="330"/>
      <c r="L559" s="329"/>
      <c r="M559" s="326"/>
      <c r="N559" s="327"/>
      <c r="O559" s="327"/>
    </row>
    <row r="560" spans="1:15" x14ac:dyDescent="0.2">
      <c r="A560" s="329"/>
      <c r="B560" s="329"/>
      <c r="C560" s="330"/>
      <c r="D560" s="330"/>
      <c r="E560" s="330"/>
      <c r="F560" s="330"/>
      <c r="G560" s="330"/>
      <c r="H560" s="330"/>
      <c r="I560" s="330"/>
      <c r="J560" s="330"/>
      <c r="K560" s="330"/>
      <c r="L560" s="329"/>
      <c r="M560" s="326"/>
      <c r="N560" s="327"/>
      <c r="O560" s="327"/>
    </row>
    <row r="561" spans="1:15" x14ac:dyDescent="0.2">
      <c r="A561" s="329"/>
      <c r="B561" s="329"/>
      <c r="C561" s="330"/>
      <c r="D561" s="330"/>
      <c r="E561" s="330"/>
      <c r="F561" s="330"/>
      <c r="G561" s="330"/>
      <c r="H561" s="330"/>
      <c r="I561" s="330"/>
      <c r="J561" s="330"/>
      <c r="K561" s="330"/>
      <c r="L561" s="329"/>
      <c r="M561" s="326"/>
      <c r="N561" s="327"/>
      <c r="O561" s="327"/>
    </row>
    <row r="562" spans="1:15" x14ac:dyDescent="0.2">
      <c r="A562" s="329"/>
      <c r="B562" s="329"/>
      <c r="C562" s="330"/>
      <c r="D562" s="330"/>
      <c r="E562" s="330"/>
      <c r="F562" s="330"/>
      <c r="G562" s="330"/>
      <c r="H562" s="330"/>
      <c r="I562" s="330"/>
      <c r="J562" s="330"/>
      <c r="K562" s="330"/>
      <c r="L562" s="329"/>
      <c r="M562" s="326"/>
      <c r="N562" s="327"/>
      <c r="O562" s="327"/>
    </row>
    <row r="563" spans="1:15" x14ac:dyDescent="0.2">
      <c r="A563" s="329"/>
      <c r="B563" s="329"/>
      <c r="C563" s="330"/>
      <c r="D563" s="330"/>
      <c r="E563" s="330"/>
      <c r="F563" s="330"/>
      <c r="G563" s="330"/>
      <c r="H563" s="330"/>
      <c r="I563" s="330"/>
      <c r="J563" s="330"/>
      <c r="K563" s="330"/>
      <c r="L563" s="329"/>
      <c r="M563" s="326"/>
      <c r="N563" s="327"/>
      <c r="O563" s="327"/>
    </row>
    <row r="564" spans="1:15" x14ac:dyDescent="0.2">
      <c r="A564" s="329"/>
      <c r="B564" s="329"/>
      <c r="C564" s="330"/>
      <c r="D564" s="330"/>
      <c r="E564" s="330"/>
      <c r="F564" s="330"/>
      <c r="G564" s="330"/>
      <c r="H564" s="330"/>
      <c r="I564" s="330"/>
      <c r="J564" s="330"/>
      <c r="K564" s="330"/>
      <c r="L564" s="329"/>
      <c r="M564" s="326"/>
      <c r="N564" s="327"/>
      <c r="O564" s="327"/>
    </row>
    <row r="565" spans="1:15" x14ac:dyDescent="0.2">
      <c r="A565" s="329"/>
      <c r="B565" s="329"/>
      <c r="C565" s="330"/>
      <c r="D565" s="330"/>
      <c r="E565" s="330"/>
      <c r="F565" s="330"/>
      <c r="G565" s="330"/>
      <c r="H565" s="330"/>
      <c r="I565" s="330"/>
      <c r="J565" s="330"/>
      <c r="K565" s="330"/>
      <c r="L565" s="329"/>
      <c r="M565" s="326"/>
      <c r="N565" s="327"/>
      <c r="O565" s="327"/>
    </row>
    <row r="566" spans="1:15" x14ac:dyDescent="0.2">
      <c r="A566" s="329"/>
      <c r="B566" s="329"/>
      <c r="C566" s="330"/>
      <c r="D566" s="330"/>
      <c r="E566" s="330"/>
      <c r="F566" s="330"/>
      <c r="G566" s="330"/>
      <c r="H566" s="330"/>
      <c r="I566" s="330"/>
      <c r="J566" s="330"/>
      <c r="K566" s="330"/>
      <c r="L566" s="329"/>
      <c r="M566" s="326"/>
      <c r="N566" s="327"/>
      <c r="O566" s="327"/>
    </row>
    <row r="567" spans="1:15" x14ac:dyDescent="0.2">
      <c r="A567" s="329"/>
      <c r="B567" s="329"/>
      <c r="C567" s="330"/>
      <c r="D567" s="330"/>
      <c r="E567" s="330"/>
      <c r="F567" s="330"/>
      <c r="G567" s="330"/>
      <c r="H567" s="330"/>
      <c r="I567" s="330"/>
      <c r="J567" s="330"/>
      <c r="K567" s="330"/>
      <c r="L567" s="329"/>
      <c r="M567" s="326"/>
      <c r="N567" s="327"/>
      <c r="O567" s="327"/>
    </row>
    <row r="568" spans="1:15" x14ac:dyDescent="0.2">
      <c r="A568" s="329"/>
      <c r="B568" s="329"/>
      <c r="C568" s="330"/>
      <c r="D568" s="330"/>
      <c r="E568" s="330"/>
      <c r="F568" s="330"/>
      <c r="G568" s="330"/>
      <c r="H568" s="330"/>
      <c r="I568" s="330"/>
      <c r="J568" s="330"/>
      <c r="K568" s="330"/>
      <c r="L568" s="329"/>
      <c r="M568" s="326"/>
      <c r="N568" s="327"/>
      <c r="O568" s="327"/>
    </row>
    <row r="569" spans="1:15" x14ac:dyDescent="0.2">
      <c r="A569" s="329"/>
      <c r="B569" s="329"/>
      <c r="C569" s="330"/>
      <c r="D569" s="330"/>
      <c r="E569" s="330"/>
      <c r="F569" s="330"/>
      <c r="G569" s="330"/>
      <c r="H569" s="330"/>
      <c r="I569" s="330"/>
      <c r="J569" s="330"/>
      <c r="K569" s="330"/>
      <c r="L569" s="329"/>
      <c r="M569" s="326"/>
      <c r="N569" s="327"/>
      <c r="O569" s="327"/>
    </row>
    <row r="570" spans="1:15" x14ac:dyDescent="0.2">
      <c r="A570" s="329"/>
      <c r="B570" s="329"/>
      <c r="C570" s="330"/>
      <c r="D570" s="330"/>
      <c r="E570" s="330"/>
      <c r="F570" s="330"/>
      <c r="G570" s="330"/>
      <c r="H570" s="330"/>
      <c r="I570" s="330"/>
      <c r="J570" s="330"/>
      <c r="K570" s="330"/>
      <c r="L570" s="329"/>
      <c r="M570" s="326"/>
      <c r="N570" s="327"/>
      <c r="O570" s="327"/>
    </row>
    <row r="571" spans="1:15" x14ac:dyDescent="0.2">
      <c r="A571" s="329"/>
      <c r="B571" s="329"/>
      <c r="C571" s="330"/>
      <c r="D571" s="330"/>
      <c r="E571" s="330"/>
      <c r="F571" s="330"/>
      <c r="G571" s="330"/>
      <c r="H571" s="330"/>
      <c r="I571" s="330"/>
      <c r="J571" s="330"/>
      <c r="K571" s="330"/>
      <c r="L571" s="329"/>
      <c r="M571" s="326"/>
      <c r="N571" s="327"/>
      <c r="O571" s="327"/>
    </row>
    <row r="572" spans="1:15" x14ac:dyDescent="0.2">
      <c r="A572" s="329"/>
      <c r="B572" s="329"/>
      <c r="C572" s="330"/>
      <c r="D572" s="330"/>
      <c r="E572" s="330"/>
      <c r="F572" s="330"/>
      <c r="G572" s="330"/>
      <c r="H572" s="330"/>
      <c r="I572" s="330"/>
      <c r="J572" s="330"/>
      <c r="K572" s="330"/>
      <c r="L572" s="329"/>
      <c r="M572" s="326"/>
      <c r="N572" s="327"/>
      <c r="O572" s="327"/>
    </row>
    <row r="573" spans="1:15" x14ac:dyDescent="0.2">
      <c r="A573" s="329"/>
      <c r="B573" s="329"/>
      <c r="C573" s="330"/>
      <c r="D573" s="330"/>
      <c r="E573" s="330"/>
      <c r="F573" s="330"/>
      <c r="G573" s="330"/>
      <c r="H573" s="330"/>
      <c r="I573" s="330"/>
      <c r="J573" s="330"/>
      <c r="K573" s="330"/>
      <c r="L573" s="329"/>
      <c r="M573" s="326"/>
      <c r="N573" s="327"/>
      <c r="O573" s="327"/>
    </row>
    <row r="574" spans="1:15" x14ac:dyDescent="0.2">
      <c r="A574" s="329"/>
      <c r="B574" s="329"/>
      <c r="C574" s="330"/>
      <c r="D574" s="330"/>
      <c r="E574" s="330"/>
      <c r="F574" s="330"/>
      <c r="G574" s="330"/>
      <c r="H574" s="330"/>
      <c r="I574" s="330"/>
      <c r="J574" s="330"/>
      <c r="K574" s="330"/>
      <c r="L574" s="329"/>
      <c r="M574" s="326"/>
      <c r="N574" s="327"/>
      <c r="O574" s="327"/>
    </row>
    <row r="575" spans="1:15" x14ac:dyDescent="0.2">
      <c r="A575" s="329"/>
      <c r="B575" s="329"/>
      <c r="C575" s="330"/>
      <c r="D575" s="330"/>
      <c r="E575" s="330"/>
      <c r="F575" s="330"/>
      <c r="G575" s="330"/>
      <c r="H575" s="330"/>
      <c r="I575" s="330"/>
      <c r="J575" s="330"/>
      <c r="K575" s="330"/>
      <c r="L575" s="329"/>
      <c r="M575" s="326"/>
      <c r="N575" s="327"/>
      <c r="O575" s="327"/>
    </row>
    <row r="576" spans="1:15" x14ac:dyDescent="0.2">
      <c r="A576" s="329"/>
      <c r="B576" s="329"/>
      <c r="C576" s="330"/>
      <c r="D576" s="330"/>
      <c r="E576" s="330"/>
      <c r="F576" s="330"/>
      <c r="G576" s="330"/>
      <c r="H576" s="330"/>
      <c r="I576" s="330"/>
      <c r="J576" s="330"/>
      <c r="K576" s="330"/>
      <c r="L576" s="329"/>
      <c r="M576" s="326"/>
      <c r="N576" s="327"/>
      <c r="O576" s="327"/>
    </row>
    <row r="577" spans="1:15" x14ac:dyDescent="0.2">
      <c r="A577" s="329"/>
      <c r="B577" s="329"/>
      <c r="C577" s="330"/>
      <c r="D577" s="330"/>
      <c r="E577" s="330"/>
      <c r="F577" s="330"/>
      <c r="G577" s="330"/>
      <c r="H577" s="330"/>
      <c r="I577" s="330"/>
      <c r="J577" s="330"/>
      <c r="K577" s="330"/>
      <c r="L577" s="329"/>
      <c r="M577" s="326"/>
      <c r="N577" s="327"/>
      <c r="O577" s="327"/>
    </row>
    <row r="578" spans="1:15" x14ac:dyDescent="0.2">
      <c r="A578" s="329"/>
      <c r="B578" s="329"/>
      <c r="C578" s="330"/>
      <c r="D578" s="330"/>
      <c r="E578" s="330"/>
      <c r="F578" s="330"/>
      <c r="G578" s="330"/>
      <c r="H578" s="330"/>
      <c r="I578" s="330"/>
      <c r="J578" s="330"/>
      <c r="K578" s="330"/>
      <c r="L578" s="329"/>
      <c r="M578" s="326"/>
      <c r="N578" s="327"/>
      <c r="O578" s="327"/>
    </row>
    <row r="579" spans="1:15" x14ac:dyDescent="0.2">
      <c r="A579" s="329"/>
      <c r="B579" s="329"/>
      <c r="C579" s="330"/>
      <c r="D579" s="330"/>
      <c r="E579" s="330"/>
      <c r="F579" s="330"/>
      <c r="G579" s="330"/>
      <c r="H579" s="330"/>
      <c r="I579" s="330"/>
      <c r="J579" s="330"/>
      <c r="K579" s="330"/>
      <c r="L579" s="329"/>
      <c r="M579" s="326"/>
      <c r="N579" s="327"/>
      <c r="O579" s="327"/>
    </row>
    <row r="580" spans="1:15" x14ac:dyDescent="0.2">
      <c r="A580" s="329"/>
      <c r="B580" s="329"/>
      <c r="C580" s="330"/>
      <c r="D580" s="330"/>
      <c r="E580" s="330"/>
      <c r="F580" s="330"/>
      <c r="G580" s="330"/>
      <c r="H580" s="330"/>
      <c r="I580" s="330"/>
      <c r="J580" s="330"/>
      <c r="K580" s="330"/>
      <c r="L580" s="329"/>
      <c r="M580" s="326"/>
      <c r="N580" s="327"/>
      <c r="O580" s="327"/>
    </row>
    <row r="581" spans="1:15" x14ac:dyDescent="0.2">
      <c r="A581" s="329"/>
      <c r="B581" s="329"/>
      <c r="C581" s="330"/>
      <c r="D581" s="330"/>
      <c r="E581" s="330"/>
      <c r="F581" s="330"/>
      <c r="G581" s="330"/>
      <c r="H581" s="330"/>
      <c r="I581" s="330"/>
      <c r="J581" s="330"/>
      <c r="K581" s="330"/>
      <c r="L581" s="329"/>
      <c r="M581" s="326"/>
      <c r="N581" s="327"/>
      <c r="O581" s="327"/>
    </row>
    <row r="582" spans="1:15" x14ac:dyDescent="0.2">
      <c r="A582" s="329"/>
      <c r="B582" s="329"/>
      <c r="C582" s="330"/>
      <c r="D582" s="330"/>
      <c r="E582" s="330"/>
      <c r="F582" s="330"/>
      <c r="G582" s="330"/>
      <c r="H582" s="330"/>
      <c r="I582" s="330"/>
      <c r="J582" s="330"/>
      <c r="K582" s="330"/>
      <c r="L582" s="329"/>
      <c r="M582" s="326"/>
      <c r="N582" s="327"/>
      <c r="O582" s="327"/>
    </row>
    <row r="583" spans="1:15" x14ac:dyDescent="0.2">
      <c r="A583" s="329"/>
      <c r="B583" s="329"/>
      <c r="C583" s="330"/>
      <c r="D583" s="330"/>
      <c r="E583" s="330"/>
      <c r="F583" s="330"/>
      <c r="G583" s="330"/>
      <c r="H583" s="330"/>
      <c r="I583" s="330"/>
      <c r="J583" s="330"/>
      <c r="K583" s="330"/>
      <c r="L583" s="329"/>
      <c r="M583" s="326"/>
      <c r="N583" s="327"/>
      <c r="O583" s="327"/>
    </row>
    <row r="584" spans="1:15" x14ac:dyDescent="0.2">
      <c r="A584" s="329"/>
      <c r="B584" s="329"/>
      <c r="C584" s="330"/>
      <c r="D584" s="330"/>
      <c r="E584" s="330"/>
      <c r="F584" s="330"/>
      <c r="G584" s="330"/>
      <c r="H584" s="330"/>
      <c r="I584" s="330"/>
      <c r="J584" s="330"/>
      <c r="K584" s="330"/>
      <c r="L584" s="329"/>
      <c r="M584" s="326"/>
      <c r="N584" s="327"/>
      <c r="O584" s="327"/>
    </row>
    <row r="585" spans="1:15" x14ac:dyDescent="0.2">
      <c r="A585" s="329"/>
      <c r="B585" s="329"/>
      <c r="C585" s="330"/>
      <c r="D585" s="330"/>
      <c r="E585" s="330"/>
      <c r="F585" s="330"/>
      <c r="G585" s="330"/>
      <c r="H585" s="330"/>
      <c r="I585" s="330"/>
      <c r="J585" s="330"/>
      <c r="K585" s="330"/>
      <c r="L585" s="329"/>
      <c r="M585" s="326"/>
      <c r="N585" s="327"/>
      <c r="O585" s="327"/>
    </row>
    <row r="586" spans="1:15" x14ac:dyDescent="0.2">
      <c r="A586" s="329"/>
      <c r="B586" s="329"/>
      <c r="C586" s="330"/>
      <c r="D586" s="330"/>
      <c r="E586" s="330"/>
      <c r="F586" s="330"/>
      <c r="G586" s="330"/>
      <c r="H586" s="330"/>
      <c r="I586" s="330"/>
      <c r="J586" s="330"/>
      <c r="K586" s="330"/>
      <c r="L586" s="329"/>
      <c r="M586" s="326"/>
      <c r="N586" s="327"/>
      <c r="O586" s="327"/>
    </row>
    <row r="587" spans="1:15" x14ac:dyDescent="0.2">
      <c r="A587" s="329"/>
      <c r="B587" s="329"/>
      <c r="C587" s="330"/>
      <c r="D587" s="330"/>
      <c r="E587" s="330"/>
      <c r="F587" s="330"/>
      <c r="G587" s="330"/>
      <c r="H587" s="330"/>
      <c r="I587" s="330"/>
      <c r="J587" s="330"/>
      <c r="K587" s="330"/>
      <c r="L587" s="329"/>
      <c r="M587" s="326"/>
      <c r="N587" s="327"/>
      <c r="O587" s="327"/>
    </row>
    <row r="588" spans="1:15" x14ac:dyDescent="0.2">
      <c r="A588" s="329"/>
      <c r="B588" s="329"/>
      <c r="C588" s="330"/>
      <c r="D588" s="330"/>
      <c r="E588" s="330"/>
      <c r="F588" s="330"/>
      <c r="G588" s="330"/>
      <c r="H588" s="330"/>
      <c r="I588" s="330"/>
      <c r="J588" s="330"/>
      <c r="K588" s="330"/>
      <c r="L588" s="329"/>
      <c r="M588" s="326"/>
      <c r="N588" s="327"/>
      <c r="O588" s="327"/>
    </row>
    <row r="589" spans="1:15" x14ac:dyDescent="0.2">
      <c r="A589" s="329"/>
      <c r="B589" s="329"/>
      <c r="C589" s="330"/>
      <c r="D589" s="330"/>
      <c r="E589" s="330"/>
      <c r="F589" s="330"/>
      <c r="G589" s="330"/>
      <c r="H589" s="330"/>
      <c r="I589" s="330"/>
      <c r="J589" s="330"/>
      <c r="K589" s="330"/>
      <c r="L589" s="329"/>
      <c r="M589" s="326"/>
      <c r="N589" s="327"/>
      <c r="O589" s="327"/>
    </row>
    <row r="590" spans="1:15" x14ac:dyDescent="0.2">
      <c r="A590" s="329"/>
      <c r="B590" s="329"/>
      <c r="C590" s="330"/>
      <c r="D590" s="330"/>
      <c r="E590" s="330"/>
      <c r="F590" s="330"/>
      <c r="G590" s="330"/>
      <c r="H590" s="330"/>
      <c r="I590" s="330"/>
      <c r="J590" s="330"/>
      <c r="K590" s="330"/>
      <c r="L590" s="329"/>
      <c r="M590" s="326"/>
      <c r="N590" s="327"/>
      <c r="O590" s="327"/>
    </row>
    <row r="591" spans="1:15" x14ac:dyDescent="0.2">
      <c r="A591" s="329"/>
      <c r="B591" s="329"/>
      <c r="C591" s="330"/>
      <c r="D591" s="330"/>
      <c r="E591" s="330"/>
      <c r="F591" s="330"/>
      <c r="G591" s="330"/>
      <c r="H591" s="330"/>
      <c r="I591" s="330"/>
      <c r="J591" s="330"/>
      <c r="K591" s="330"/>
      <c r="L591" s="329"/>
      <c r="M591" s="326"/>
      <c r="N591" s="327"/>
      <c r="O591" s="327"/>
    </row>
    <row r="592" spans="1:15" x14ac:dyDescent="0.2">
      <c r="A592" s="329"/>
      <c r="B592" s="329"/>
      <c r="C592" s="330"/>
      <c r="D592" s="330"/>
      <c r="E592" s="330"/>
      <c r="F592" s="330"/>
      <c r="G592" s="330"/>
      <c r="H592" s="330"/>
      <c r="I592" s="330"/>
      <c r="J592" s="330"/>
      <c r="K592" s="330"/>
      <c r="L592" s="329"/>
      <c r="M592" s="326"/>
      <c r="N592" s="327"/>
      <c r="O592" s="327"/>
    </row>
    <row r="593" spans="1:15" x14ac:dyDescent="0.2">
      <c r="A593" s="329"/>
      <c r="B593" s="329"/>
      <c r="C593" s="330"/>
      <c r="D593" s="330"/>
      <c r="E593" s="330"/>
      <c r="F593" s="330"/>
      <c r="G593" s="330"/>
      <c r="H593" s="330"/>
      <c r="I593" s="330"/>
      <c r="J593" s="330"/>
      <c r="K593" s="330"/>
      <c r="L593" s="329"/>
      <c r="M593" s="326"/>
      <c r="N593" s="327"/>
      <c r="O593" s="327"/>
    </row>
    <row r="594" spans="1:15" x14ac:dyDescent="0.2">
      <c r="A594" s="329"/>
      <c r="B594" s="329"/>
      <c r="C594" s="330"/>
      <c r="D594" s="330"/>
      <c r="E594" s="330"/>
      <c r="F594" s="330"/>
      <c r="G594" s="330"/>
      <c r="H594" s="330"/>
      <c r="I594" s="330"/>
      <c r="J594" s="330"/>
      <c r="K594" s="330"/>
      <c r="L594" s="329"/>
      <c r="M594" s="326"/>
      <c r="N594" s="327"/>
      <c r="O594" s="327"/>
    </row>
    <row r="595" spans="1:15" x14ac:dyDescent="0.2">
      <c r="A595" s="329"/>
      <c r="B595" s="329"/>
      <c r="C595" s="330"/>
      <c r="D595" s="330"/>
      <c r="E595" s="330"/>
      <c r="F595" s="330"/>
      <c r="G595" s="330"/>
      <c r="H595" s="330"/>
      <c r="I595" s="330"/>
      <c r="J595" s="330"/>
      <c r="K595" s="330"/>
      <c r="L595" s="329"/>
      <c r="M595" s="326"/>
      <c r="N595" s="327"/>
      <c r="O595" s="327"/>
    </row>
    <row r="596" spans="1:15" x14ac:dyDescent="0.2">
      <c r="A596" s="329"/>
      <c r="B596" s="329"/>
      <c r="C596" s="330"/>
      <c r="D596" s="330"/>
      <c r="E596" s="330"/>
      <c r="F596" s="330"/>
      <c r="G596" s="330"/>
      <c r="H596" s="330"/>
      <c r="I596" s="330"/>
      <c r="J596" s="330"/>
      <c r="K596" s="330"/>
      <c r="L596" s="329"/>
      <c r="M596" s="326"/>
      <c r="N596" s="327"/>
      <c r="O596" s="327"/>
    </row>
    <row r="597" spans="1:15" x14ac:dyDescent="0.2">
      <c r="A597" s="329"/>
      <c r="B597" s="329"/>
      <c r="C597" s="330"/>
      <c r="D597" s="330"/>
      <c r="E597" s="330"/>
      <c r="F597" s="330"/>
      <c r="G597" s="330"/>
      <c r="H597" s="330"/>
      <c r="I597" s="330"/>
      <c r="J597" s="330"/>
      <c r="K597" s="330"/>
      <c r="L597" s="329"/>
      <c r="M597" s="326"/>
      <c r="N597" s="327"/>
      <c r="O597" s="327"/>
    </row>
    <row r="598" spans="1:15" x14ac:dyDescent="0.2">
      <c r="A598" s="329"/>
      <c r="B598" s="329"/>
      <c r="C598" s="330"/>
      <c r="D598" s="330"/>
      <c r="E598" s="330"/>
      <c r="F598" s="330"/>
      <c r="G598" s="330"/>
      <c r="H598" s="330"/>
      <c r="I598" s="330"/>
      <c r="J598" s="330"/>
      <c r="K598" s="330"/>
      <c r="L598" s="329"/>
      <c r="M598" s="326"/>
      <c r="N598" s="327"/>
      <c r="O598" s="327"/>
    </row>
    <row r="599" spans="1:15" x14ac:dyDescent="0.2">
      <c r="A599" s="329"/>
      <c r="B599" s="329"/>
      <c r="C599" s="330"/>
      <c r="D599" s="330"/>
      <c r="E599" s="330"/>
      <c r="F599" s="330"/>
      <c r="G599" s="330"/>
      <c r="H599" s="330"/>
      <c r="I599" s="330"/>
      <c r="J599" s="330"/>
      <c r="K599" s="330"/>
      <c r="L599" s="329"/>
      <c r="M599" s="326"/>
      <c r="N599" s="327"/>
      <c r="O599" s="327"/>
    </row>
    <row r="600" spans="1:15" x14ac:dyDescent="0.2">
      <c r="A600" s="329"/>
      <c r="B600" s="329"/>
      <c r="C600" s="330"/>
      <c r="D600" s="330"/>
      <c r="E600" s="330"/>
      <c r="F600" s="330"/>
      <c r="G600" s="330"/>
      <c r="H600" s="330"/>
      <c r="I600" s="330"/>
      <c r="J600" s="330"/>
      <c r="K600" s="330"/>
      <c r="L600" s="329"/>
      <c r="M600" s="326"/>
      <c r="N600" s="327"/>
      <c r="O600" s="327"/>
    </row>
    <row r="601" spans="1:15" x14ac:dyDescent="0.2">
      <c r="A601" s="329"/>
      <c r="B601" s="329"/>
      <c r="C601" s="330"/>
      <c r="D601" s="330"/>
      <c r="E601" s="330"/>
      <c r="F601" s="330"/>
      <c r="G601" s="330"/>
      <c r="H601" s="330"/>
      <c r="I601" s="330"/>
      <c r="J601" s="330"/>
      <c r="K601" s="330"/>
      <c r="L601" s="329"/>
      <c r="M601" s="326"/>
      <c r="N601" s="327"/>
      <c r="O601" s="327"/>
    </row>
    <row r="602" spans="1:15" x14ac:dyDescent="0.2">
      <c r="A602" s="329"/>
      <c r="B602" s="329"/>
      <c r="C602" s="330"/>
      <c r="D602" s="330"/>
      <c r="E602" s="330"/>
      <c r="F602" s="330"/>
      <c r="G602" s="330"/>
      <c r="H602" s="330"/>
      <c r="I602" s="330"/>
      <c r="J602" s="330"/>
      <c r="K602" s="330"/>
      <c r="L602" s="329"/>
      <c r="M602" s="326"/>
      <c r="N602" s="327"/>
      <c r="O602" s="327"/>
    </row>
    <row r="603" spans="1:15" x14ac:dyDescent="0.2">
      <c r="A603" s="329"/>
      <c r="B603" s="329"/>
      <c r="C603" s="330"/>
      <c r="D603" s="330"/>
      <c r="E603" s="330"/>
      <c r="F603" s="330"/>
      <c r="G603" s="330"/>
      <c r="H603" s="330"/>
      <c r="I603" s="330"/>
      <c r="J603" s="330"/>
      <c r="K603" s="330"/>
      <c r="L603" s="329"/>
      <c r="M603" s="326"/>
      <c r="N603" s="327"/>
      <c r="O603" s="327"/>
    </row>
    <row r="604" spans="1:15" x14ac:dyDescent="0.2">
      <c r="A604" s="329"/>
      <c r="B604" s="329"/>
      <c r="C604" s="330"/>
      <c r="D604" s="330"/>
      <c r="E604" s="330"/>
      <c r="F604" s="330"/>
      <c r="G604" s="330"/>
      <c r="H604" s="330"/>
      <c r="I604" s="330"/>
      <c r="J604" s="330"/>
      <c r="K604" s="330"/>
      <c r="L604" s="329"/>
      <c r="M604" s="326"/>
      <c r="N604" s="327"/>
      <c r="O604" s="327"/>
    </row>
    <row r="605" spans="1:15" x14ac:dyDescent="0.2">
      <c r="A605" s="329"/>
      <c r="B605" s="329"/>
      <c r="C605" s="330"/>
      <c r="D605" s="330"/>
      <c r="E605" s="330"/>
      <c r="F605" s="330"/>
      <c r="G605" s="330"/>
      <c r="H605" s="330"/>
      <c r="I605" s="330"/>
      <c r="J605" s="330"/>
      <c r="K605" s="330"/>
      <c r="L605" s="329"/>
      <c r="M605" s="326"/>
      <c r="N605" s="327"/>
      <c r="O605" s="327"/>
    </row>
    <row r="606" spans="1:15" x14ac:dyDescent="0.2">
      <c r="A606" s="329"/>
      <c r="B606" s="329"/>
      <c r="C606" s="330"/>
      <c r="D606" s="330"/>
      <c r="E606" s="330"/>
      <c r="F606" s="330"/>
      <c r="G606" s="330"/>
      <c r="H606" s="330"/>
      <c r="I606" s="330"/>
      <c r="J606" s="330"/>
      <c r="K606" s="330"/>
      <c r="L606" s="329"/>
      <c r="M606" s="326"/>
      <c r="N606" s="327"/>
      <c r="O606" s="327"/>
    </row>
    <row r="607" spans="1:15" x14ac:dyDescent="0.2">
      <c r="A607" s="329"/>
      <c r="B607" s="329"/>
      <c r="C607" s="330"/>
      <c r="D607" s="330"/>
      <c r="E607" s="330"/>
      <c r="F607" s="330"/>
      <c r="G607" s="330"/>
      <c r="H607" s="330"/>
      <c r="I607" s="330"/>
      <c r="J607" s="330"/>
      <c r="K607" s="330"/>
      <c r="L607" s="329"/>
      <c r="M607" s="326"/>
      <c r="N607" s="327"/>
      <c r="O607" s="327"/>
    </row>
    <row r="608" spans="1:15" x14ac:dyDescent="0.2">
      <c r="A608" s="329"/>
      <c r="B608" s="329"/>
      <c r="C608" s="330"/>
      <c r="D608" s="330"/>
      <c r="E608" s="330"/>
      <c r="F608" s="330"/>
      <c r="G608" s="330"/>
      <c r="H608" s="330"/>
      <c r="I608" s="330"/>
      <c r="J608" s="330"/>
      <c r="K608" s="330"/>
      <c r="L608" s="329"/>
      <c r="M608" s="326"/>
      <c r="N608" s="327"/>
      <c r="O608" s="327"/>
    </row>
    <row r="609" spans="1:15" x14ac:dyDescent="0.2">
      <c r="A609" s="329"/>
      <c r="B609" s="329"/>
      <c r="C609" s="330"/>
      <c r="D609" s="330"/>
      <c r="E609" s="330"/>
      <c r="F609" s="330"/>
      <c r="G609" s="330"/>
      <c r="H609" s="330"/>
      <c r="I609" s="330"/>
      <c r="J609" s="330"/>
      <c r="K609" s="330"/>
      <c r="L609" s="329"/>
      <c r="M609" s="326"/>
      <c r="N609" s="327"/>
      <c r="O609" s="327"/>
    </row>
    <row r="610" spans="1:15" x14ac:dyDescent="0.2">
      <c r="A610" s="329"/>
      <c r="B610" s="329"/>
      <c r="C610" s="330"/>
      <c r="D610" s="330"/>
      <c r="E610" s="330"/>
      <c r="F610" s="330"/>
      <c r="G610" s="330"/>
      <c r="H610" s="330"/>
      <c r="I610" s="330"/>
      <c r="J610" s="330"/>
      <c r="K610" s="330"/>
      <c r="L610" s="329"/>
      <c r="M610" s="326"/>
      <c r="N610" s="327"/>
      <c r="O610" s="327"/>
    </row>
    <row r="611" spans="1:15" x14ac:dyDescent="0.2">
      <c r="A611" s="329"/>
      <c r="B611" s="329"/>
      <c r="C611" s="330"/>
      <c r="D611" s="330"/>
      <c r="E611" s="330"/>
      <c r="F611" s="330"/>
      <c r="G611" s="330"/>
      <c r="H611" s="330"/>
      <c r="I611" s="330"/>
      <c r="J611" s="330"/>
      <c r="K611" s="330"/>
      <c r="L611" s="329"/>
      <c r="M611" s="326"/>
      <c r="N611" s="327"/>
      <c r="O611" s="327"/>
    </row>
    <row r="612" spans="1:15" x14ac:dyDescent="0.2">
      <c r="A612" s="329"/>
      <c r="B612" s="329"/>
      <c r="C612" s="330"/>
      <c r="D612" s="330"/>
      <c r="E612" s="330"/>
      <c r="F612" s="330"/>
      <c r="G612" s="330"/>
      <c r="H612" s="330"/>
      <c r="I612" s="330"/>
      <c r="J612" s="330"/>
      <c r="K612" s="330"/>
      <c r="L612" s="329"/>
      <c r="M612" s="326"/>
      <c r="N612" s="327"/>
      <c r="O612" s="327"/>
    </row>
    <row r="613" spans="1:15" x14ac:dyDescent="0.2">
      <c r="A613" s="329"/>
      <c r="B613" s="329"/>
      <c r="C613" s="330"/>
      <c r="D613" s="330"/>
      <c r="E613" s="330"/>
      <c r="F613" s="330"/>
      <c r="G613" s="330"/>
      <c r="H613" s="330"/>
      <c r="I613" s="330"/>
      <c r="J613" s="330"/>
      <c r="K613" s="330"/>
      <c r="L613" s="329"/>
      <c r="M613" s="326"/>
      <c r="N613" s="327"/>
      <c r="O613" s="327"/>
    </row>
    <row r="614" spans="1:15" x14ac:dyDescent="0.2">
      <c r="A614" s="329"/>
      <c r="B614" s="329"/>
      <c r="C614" s="330"/>
      <c r="D614" s="330"/>
      <c r="E614" s="330"/>
      <c r="F614" s="330"/>
      <c r="G614" s="330"/>
      <c r="H614" s="330"/>
      <c r="I614" s="330"/>
      <c r="J614" s="330"/>
      <c r="K614" s="330"/>
      <c r="L614" s="329"/>
      <c r="M614" s="326"/>
      <c r="N614" s="327"/>
      <c r="O614" s="327"/>
    </row>
    <row r="615" spans="1:15" x14ac:dyDescent="0.2">
      <c r="A615" s="329"/>
      <c r="B615" s="329"/>
      <c r="C615" s="330"/>
      <c r="D615" s="330"/>
      <c r="E615" s="330"/>
      <c r="F615" s="330"/>
      <c r="G615" s="330"/>
      <c r="H615" s="330"/>
      <c r="I615" s="330"/>
      <c r="J615" s="330"/>
      <c r="K615" s="330"/>
      <c r="L615" s="329"/>
      <c r="M615" s="326"/>
      <c r="N615" s="327"/>
      <c r="O615" s="327"/>
    </row>
    <row r="616" spans="1:15" x14ac:dyDescent="0.2">
      <c r="A616" s="329"/>
      <c r="B616" s="329"/>
      <c r="C616" s="330"/>
      <c r="D616" s="330"/>
      <c r="E616" s="330"/>
      <c r="F616" s="330"/>
      <c r="G616" s="330"/>
      <c r="H616" s="330"/>
      <c r="I616" s="330"/>
      <c r="J616" s="330"/>
      <c r="K616" s="330"/>
      <c r="L616" s="329"/>
      <c r="M616" s="326"/>
      <c r="N616" s="327"/>
      <c r="O616" s="327"/>
    </row>
    <row r="617" spans="1:15" x14ac:dyDescent="0.2">
      <c r="A617" s="329"/>
      <c r="B617" s="329"/>
      <c r="C617" s="330"/>
      <c r="D617" s="330"/>
      <c r="E617" s="330"/>
      <c r="F617" s="330"/>
      <c r="G617" s="330"/>
      <c r="H617" s="330"/>
      <c r="I617" s="330"/>
      <c r="J617" s="330"/>
      <c r="K617" s="330"/>
      <c r="L617" s="329"/>
      <c r="M617" s="326"/>
      <c r="N617" s="327"/>
      <c r="O617" s="327"/>
    </row>
    <row r="618" spans="1:15" x14ac:dyDescent="0.2">
      <c r="A618" s="329"/>
      <c r="B618" s="329"/>
      <c r="C618" s="330"/>
      <c r="D618" s="330"/>
      <c r="E618" s="330"/>
      <c r="F618" s="330"/>
      <c r="G618" s="330"/>
      <c r="H618" s="330"/>
      <c r="I618" s="330"/>
      <c r="J618" s="330"/>
      <c r="K618" s="330"/>
      <c r="L618" s="329"/>
      <c r="M618" s="326"/>
      <c r="N618" s="327"/>
      <c r="O618" s="327"/>
    </row>
    <row r="619" spans="1:15" x14ac:dyDescent="0.2">
      <c r="A619" s="329"/>
      <c r="B619" s="329"/>
      <c r="C619" s="330"/>
      <c r="D619" s="330"/>
      <c r="E619" s="330"/>
      <c r="F619" s="330"/>
      <c r="G619" s="330"/>
      <c r="H619" s="330"/>
      <c r="I619" s="330"/>
      <c r="J619" s="330"/>
      <c r="K619" s="330"/>
      <c r="L619" s="329"/>
      <c r="M619" s="326"/>
      <c r="N619" s="327"/>
      <c r="O619" s="327"/>
    </row>
    <row r="620" spans="1:15" x14ac:dyDescent="0.2">
      <c r="A620" s="329"/>
      <c r="B620" s="329"/>
      <c r="C620" s="330"/>
      <c r="D620" s="330"/>
      <c r="E620" s="330"/>
      <c r="F620" s="330"/>
      <c r="G620" s="330"/>
      <c r="H620" s="330"/>
      <c r="I620" s="330"/>
      <c r="J620" s="330"/>
      <c r="K620" s="330"/>
      <c r="L620" s="329"/>
      <c r="M620" s="326"/>
      <c r="N620" s="327"/>
      <c r="O620" s="327"/>
    </row>
    <row r="621" spans="1:15" x14ac:dyDescent="0.2">
      <c r="A621" s="329"/>
      <c r="B621" s="329"/>
      <c r="C621" s="330"/>
      <c r="D621" s="330"/>
      <c r="E621" s="330"/>
      <c r="F621" s="330"/>
      <c r="G621" s="330"/>
      <c r="H621" s="330"/>
      <c r="I621" s="330"/>
      <c r="J621" s="330"/>
      <c r="K621" s="330"/>
      <c r="L621" s="329"/>
      <c r="M621" s="326"/>
      <c r="N621" s="327"/>
      <c r="O621" s="327"/>
    </row>
    <row r="622" spans="1:15" x14ac:dyDescent="0.2">
      <c r="A622" s="329"/>
      <c r="B622" s="329"/>
      <c r="C622" s="330"/>
      <c r="D622" s="330"/>
      <c r="E622" s="330"/>
      <c r="F622" s="330"/>
      <c r="G622" s="330"/>
      <c r="H622" s="330"/>
      <c r="I622" s="330"/>
      <c r="J622" s="330"/>
      <c r="K622" s="330"/>
      <c r="L622" s="329"/>
      <c r="M622" s="326"/>
      <c r="N622" s="327"/>
      <c r="O622" s="327"/>
    </row>
    <row r="623" spans="1:15" x14ac:dyDescent="0.2">
      <c r="A623" s="329"/>
      <c r="B623" s="329"/>
      <c r="C623" s="330"/>
      <c r="D623" s="330"/>
      <c r="E623" s="330"/>
      <c r="F623" s="330"/>
      <c r="G623" s="330"/>
      <c r="H623" s="330"/>
      <c r="I623" s="330"/>
      <c r="J623" s="330"/>
      <c r="K623" s="330"/>
      <c r="L623" s="329"/>
      <c r="M623" s="326"/>
      <c r="N623" s="327"/>
      <c r="O623" s="327"/>
    </row>
    <row r="624" spans="1:15" x14ac:dyDescent="0.2">
      <c r="A624" s="329"/>
      <c r="B624" s="329"/>
      <c r="C624" s="330"/>
      <c r="D624" s="330"/>
      <c r="E624" s="330"/>
      <c r="F624" s="330"/>
      <c r="G624" s="330"/>
      <c r="H624" s="330"/>
      <c r="I624" s="330"/>
      <c r="J624" s="330"/>
      <c r="K624" s="330"/>
      <c r="L624" s="329"/>
      <c r="M624" s="326"/>
      <c r="N624" s="327"/>
      <c r="O624" s="327"/>
    </row>
    <row r="625" spans="1:15" x14ac:dyDescent="0.2">
      <c r="A625" s="329"/>
      <c r="B625" s="329"/>
      <c r="C625" s="330"/>
      <c r="D625" s="330"/>
      <c r="E625" s="330"/>
      <c r="F625" s="330"/>
      <c r="G625" s="330"/>
      <c r="H625" s="330"/>
      <c r="I625" s="330"/>
      <c r="J625" s="330"/>
      <c r="K625" s="330"/>
      <c r="L625" s="329"/>
      <c r="M625" s="326"/>
      <c r="N625" s="327"/>
      <c r="O625" s="327"/>
    </row>
    <row r="626" spans="1:15" x14ac:dyDescent="0.2">
      <c r="A626" s="329"/>
      <c r="B626" s="329"/>
      <c r="C626" s="330"/>
      <c r="D626" s="330"/>
      <c r="E626" s="330"/>
      <c r="F626" s="330"/>
      <c r="G626" s="330"/>
      <c r="H626" s="330"/>
      <c r="I626" s="330"/>
      <c r="J626" s="330"/>
      <c r="K626" s="330"/>
      <c r="L626" s="329"/>
      <c r="M626" s="326"/>
      <c r="N626" s="327"/>
      <c r="O626" s="327"/>
    </row>
    <row r="627" spans="1:15" x14ac:dyDescent="0.2">
      <c r="A627" s="329"/>
      <c r="B627" s="329"/>
      <c r="C627" s="330"/>
      <c r="D627" s="330"/>
      <c r="E627" s="330"/>
      <c r="F627" s="330"/>
      <c r="G627" s="330"/>
      <c r="H627" s="330"/>
      <c r="I627" s="330"/>
      <c r="J627" s="330"/>
      <c r="K627" s="330"/>
      <c r="L627" s="329"/>
      <c r="M627" s="326"/>
      <c r="N627" s="327"/>
      <c r="O627" s="327"/>
    </row>
    <row r="628" spans="1:15" x14ac:dyDescent="0.2">
      <c r="A628" s="329"/>
      <c r="B628" s="329"/>
      <c r="C628" s="330"/>
      <c r="D628" s="330"/>
      <c r="E628" s="330"/>
      <c r="F628" s="330"/>
      <c r="G628" s="330"/>
      <c r="H628" s="330"/>
      <c r="I628" s="330"/>
      <c r="J628" s="330"/>
      <c r="K628" s="330"/>
      <c r="L628" s="329"/>
      <c r="M628" s="326"/>
      <c r="N628" s="327"/>
      <c r="O628" s="327"/>
    </row>
    <row r="629" spans="1:15" x14ac:dyDescent="0.2">
      <c r="A629" s="329"/>
      <c r="B629" s="329"/>
      <c r="C629" s="330"/>
      <c r="D629" s="330"/>
      <c r="E629" s="330"/>
      <c r="F629" s="330"/>
      <c r="G629" s="330"/>
      <c r="H629" s="330"/>
      <c r="I629" s="330"/>
      <c r="J629" s="330"/>
      <c r="K629" s="330"/>
      <c r="L629" s="329"/>
      <c r="M629" s="326"/>
      <c r="N629" s="327"/>
      <c r="O629" s="327"/>
    </row>
    <row r="630" spans="1:15" x14ac:dyDescent="0.2">
      <c r="A630" s="329"/>
      <c r="B630" s="329"/>
      <c r="C630" s="330"/>
      <c r="D630" s="330"/>
      <c r="E630" s="330"/>
      <c r="F630" s="330"/>
      <c r="G630" s="330"/>
      <c r="H630" s="330"/>
      <c r="I630" s="330"/>
      <c r="J630" s="330"/>
      <c r="K630" s="330"/>
      <c r="L630" s="329"/>
      <c r="M630" s="326"/>
      <c r="N630" s="327"/>
      <c r="O630" s="327"/>
    </row>
    <row r="631" spans="1:15" x14ac:dyDescent="0.2">
      <c r="A631" s="329"/>
      <c r="B631" s="329"/>
      <c r="C631" s="330"/>
      <c r="D631" s="330"/>
      <c r="E631" s="330"/>
      <c r="F631" s="330"/>
      <c r="G631" s="330"/>
      <c r="H631" s="330"/>
      <c r="I631" s="330"/>
      <c r="J631" s="330"/>
      <c r="K631" s="330"/>
      <c r="L631" s="329"/>
      <c r="M631" s="326"/>
      <c r="N631" s="327"/>
      <c r="O631" s="327"/>
    </row>
    <row r="632" spans="1:15" x14ac:dyDescent="0.2">
      <c r="A632" s="329"/>
      <c r="B632" s="329"/>
      <c r="C632" s="330"/>
      <c r="D632" s="330"/>
      <c r="E632" s="330"/>
      <c r="F632" s="330"/>
      <c r="G632" s="330"/>
      <c r="H632" s="330"/>
      <c r="I632" s="330"/>
      <c r="J632" s="330"/>
      <c r="K632" s="330"/>
      <c r="L632" s="329"/>
      <c r="M632" s="326"/>
      <c r="N632" s="327"/>
      <c r="O632" s="327"/>
    </row>
    <row r="633" spans="1:15" x14ac:dyDescent="0.2">
      <c r="A633" s="329"/>
      <c r="B633" s="329"/>
      <c r="C633" s="330"/>
      <c r="D633" s="330"/>
      <c r="E633" s="330"/>
      <c r="F633" s="330"/>
      <c r="G633" s="330"/>
      <c r="H633" s="330"/>
      <c r="I633" s="330"/>
      <c r="J633" s="330"/>
      <c r="K633" s="330"/>
      <c r="L633" s="329"/>
      <c r="M633" s="326"/>
      <c r="N633" s="327"/>
      <c r="O633" s="327"/>
    </row>
    <row r="634" spans="1:15" x14ac:dyDescent="0.2">
      <c r="A634" s="329"/>
      <c r="B634" s="329"/>
      <c r="C634" s="330"/>
      <c r="D634" s="330"/>
      <c r="E634" s="330"/>
      <c r="F634" s="330"/>
      <c r="G634" s="330"/>
      <c r="H634" s="330"/>
      <c r="I634" s="330"/>
      <c r="J634" s="330"/>
      <c r="K634" s="330"/>
      <c r="L634" s="329"/>
      <c r="M634" s="326"/>
      <c r="N634" s="327"/>
      <c r="O634" s="327"/>
    </row>
    <row r="635" spans="1:15" x14ac:dyDescent="0.2">
      <c r="A635" s="329"/>
      <c r="B635" s="329"/>
      <c r="C635" s="330"/>
      <c r="D635" s="330"/>
      <c r="E635" s="330"/>
      <c r="F635" s="330"/>
      <c r="G635" s="330"/>
      <c r="H635" s="330"/>
      <c r="I635" s="330"/>
      <c r="J635" s="330"/>
      <c r="K635" s="330"/>
      <c r="L635" s="329"/>
      <c r="M635" s="326"/>
      <c r="N635" s="327"/>
      <c r="O635" s="327"/>
    </row>
    <row r="636" spans="1:15" x14ac:dyDescent="0.2">
      <c r="A636" s="329"/>
      <c r="B636" s="329"/>
      <c r="C636" s="330"/>
      <c r="D636" s="330"/>
      <c r="E636" s="330"/>
      <c r="F636" s="330"/>
      <c r="G636" s="330"/>
      <c r="H636" s="330"/>
      <c r="I636" s="330"/>
      <c r="J636" s="330"/>
      <c r="K636" s="330"/>
      <c r="L636" s="329"/>
      <c r="M636" s="326"/>
      <c r="N636" s="327"/>
      <c r="O636" s="327"/>
    </row>
    <row r="637" spans="1:15" x14ac:dyDescent="0.2">
      <c r="A637" s="329"/>
      <c r="B637" s="329"/>
      <c r="C637" s="330"/>
      <c r="D637" s="330"/>
      <c r="E637" s="330"/>
      <c r="F637" s="330"/>
      <c r="G637" s="330"/>
      <c r="H637" s="330"/>
      <c r="I637" s="330"/>
      <c r="J637" s="330"/>
      <c r="K637" s="330"/>
      <c r="L637" s="329"/>
      <c r="M637" s="326"/>
      <c r="N637" s="327"/>
      <c r="O637" s="327"/>
    </row>
    <row r="638" spans="1:15" x14ac:dyDescent="0.2">
      <c r="A638" s="329"/>
      <c r="B638" s="329"/>
      <c r="C638" s="330"/>
      <c r="D638" s="330"/>
      <c r="E638" s="330"/>
      <c r="F638" s="330"/>
      <c r="G638" s="330"/>
      <c r="H638" s="330"/>
      <c r="I638" s="330"/>
      <c r="J638" s="330"/>
      <c r="K638" s="330"/>
      <c r="L638" s="329"/>
      <c r="M638" s="326"/>
      <c r="N638" s="327"/>
      <c r="O638" s="327"/>
    </row>
    <row r="639" spans="1:15" x14ac:dyDescent="0.2">
      <c r="A639" s="329"/>
      <c r="B639" s="329"/>
      <c r="C639" s="330"/>
      <c r="D639" s="330"/>
      <c r="E639" s="330"/>
      <c r="F639" s="330"/>
      <c r="G639" s="330"/>
      <c r="H639" s="330"/>
      <c r="I639" s="330"/>
      <c r="J639" s="330"/>
      <c r="K639" s="330"/>
      <c r="L639" s="329"/>
      <c r="M639" s="326"/>
      <c r="N639" s="327"/>
      <c r="O639" s="327"/>
    </row>
    <row r="640" spans="1:15" x14ac:dyDescent="0.2">
      <c r="A640" s="329"/>
      <c r="B640" s="329"/>
      <c r="C640" s="330"/>
      <c r="D640" s="330"/>
      <c r="E640" s="330"/>
      <c r="F640" s="330"/>
      <c r="G640" s="330"/>
      <c r="H640" s="330"/>
      <c r="I640" s="330"/>
      <c r="J640" s="330"/>
      <c r="K640" s="330"/>
      <c r="L640" s="329"/>
      <c r="M640" s="326"/>
      <c r="N640" s="327"/>
      <c r="O640" s="327"/>
    </row>
    <row r="641" spans="1:15" x14ac:dyDescent="0.2">
      <c r="A641" s="329"/>
      <c r="B641" s="329"/>
      <c r="C641" s="330"/>
      <c r="D641" s="330"/>
      <c r="E641" s="330"/>
      <c r="F641" s="330"/>
      <c r="G641" s="330"/>
      <c r="H641" s="330"/>
      <c r="I641" s="330"/>
      <c r="J641" s="330"/>
      <c r="K641" s="330"/>
      <c r="L641" s="329"/>
      <c r="M641" s="326"/>
      <c r="N641" s="327"/>
      <c r="O641" s="327"/>
    </row>
    <row r="642" spans="1:15" x14ac:dyDescent="0.2">
      <c r="A642" s="329"/>
      <c r="B642" s="329"/>
      <c r="C642" s="330"/>
      <c r="D642" s="330"/>
      <c r="E642" s="330"/>
      <c r="F642" s="330"/>
      <c r="G642" s="330"/>
      <c r="H642" s="330"/>
      <c r="I642" s="330"/>
      <c r="J642" s="330"/>
      <c r="K642" s="330"/>
      <c r="L642" s="329"/>
      <c r="M642" s="326"/>
      <c r="N642" s="327"/>
      <c r="O642" s="327"/>
    </row>
    <row r="643" spans="1:15" x14ac:dyDescent="0.2">
      <c r="A643" s="329"/>
      <c r="B643" s="329"/>
      <c r="C643" s="330"/>
      <c r="D643" s="330"/>
      <c r="E643" s="330"/>
      <c r="F643" s="330"/>
      <c r="G643" s="330"/>
      <c r="H643" s="330"/>
      <c r="I643" s="330"/>
      <c r="J643" s="330"/>
      <c r="K643" s="330"/>
      <c r="L643" s="329"/>
      <c r="M643" s="326"/>
      <c r="N643" s="327"/>
      <c r="O643" s="327"/>
    </row>
    <row r="644" spans="1:15" x14ac:dyDescent="0.2">
      <c r="A644" s="329"/>
      <c r="B644" s="329"/>
      <c r="C644" s="330"/>
      <c r="D644" s="330"/>
      <c r="E644" s="330"/>
      <c r="F644" s="330"/>
      <c r="G644" s="330"/>
      <c r="H644" s="330"/>
      <c r="I644" s="330"/>
      <c r="J644" s="330"/>
      <c r="K644" s="330"/>
      <c r="L644" s="329"/>
      <c r="M644" s="326"/>
      <c r="N644" s="327"/>
      <c r="O644" s="327"/>
    </row>
    <row r="645" spans="1:15" x14ac:dyDescent="0.2">
      <c r="A645" s="329"/>
      <c r="B645" s="329"/>
      <c r="C645" s="330"/>
      <c r="D645" s="330"/>
      <c r="E645" s="330"/>
      <c r="F645" s="330"/>
      <c r="G645" s="330"/>
      <c r="H645" s="330"/>
      <c r="I645" s="330"/>
      <c r="J645" s="330"/>
      <c r="K645" s="330"/>
      <c r="L645" s="329"/>
      <c r="M645" s="326"/>
      <c r="N645" s="327"/>
      <c r="O645" s="327"/>
    </row>
    <row r="646" spans="1:15" x14ac:dyDescent="0.2">
      <c r="A646" s="329"/>
      <c r="B646" s="329"/>
      <c r="C646" s="330"/>
      <c r="D646" s="330"/>
      <c r="E646" s="330"/>
      <c r="F646" s="330"/>
      <c r="G646" s="330"/>
      <c r="H646" s="330"/>
      <c r="I646" s="330"/>
      <c r="J646" s="330"/>
      <c r="K646" s="330"/>
      <c r="L646" s="329"/>
      <c r="M646" s="326"/>
      <c r="N646" s="327"/>
      <c r="O646" s="327"/>
    </row>
    <row r="647" spans="1:15" x14ac:dyDescent="0.2">
      <c r="A647" s="329"/>
      <c r="B647" s="329"/>
      <c r="C647" s="330"/>
      <c r="D647" s="330"/>
      <c r="E647" s="330"/>
      <c r="F647" s="330"/>
      <c r="G647" s="330"/>
      <c r="H647" s="330"/>
      <c r="I647" s="330"/>
      <c r="J647" s="330"/>
      <c r="K647" s="330"/>
      <c r="L647" s="329"/>
      <c r="M647" s="326"/>
      <c r="N647" s="327"/>
      <c r="O647" s="327"/>
    </row>
    <row r="648" spans="1:15" x14ac:dyDescent="0.2">
      <c r="A648" s="329"/>
      <c r="B648" s="329"/>
      <c r="C648" s="330"/>
      <c r="D648" s="330"/>
      <c r="E648" s="330"/>
      <c r="F648" s="330"/>
      <c r="G648" s="330"/>
      <c r="H648" s="330"/>
      <c r="I648" s="330"/>
      <c r="J648" s="330"/>
      <c r="K648" s="330"/>
      <c r="L648" s="329"/>
      <c r="M648" s="326"/>
      <c r="N648" s="327"/>
      <c r="O648" s="327"/>
    </row>
    <row r="649" spans="1:15" x14ac:dyDescent="0.2">
      <c r="A649" s="329"/>
      <c r="B649" s="329"/>
      <c r="C649" s="330"/>
      <c r="D649" s="330"/>
      <c r="E649" s="330"/>
      <c r="F649" s="330"/>
      <c r="G649" s="330"/>
      <c r="H649" s="330"/>
      <c r="I649" s="330"/>
      <c r="J649" s="330"/>
      <c r="K649" s="330"/>
      <c r="L649" s="329"/>
      <c r="M649" s="326"/>
      <c r="N649" s="327"/>
      <c r="O649" s="327"/>
    </row>
    <row r="650" spans="1:15" x14ac:dyDescent="0.2">
      <c r="A650" s="329"/>
      <c r="B650" s="329"/>
      <c r="C650" s="330"/>
      <c r="D650" s="330"/>
      <c r="E650" s="330"/>
      <c r="F650" s="330"/>
      <c r="G650" s="330"/>
      <c r="H650" s="330"/>
      <c r="I650" s="330"/>
      <c r="J650" s="330"/>
      <c r="K650" s="330"/>
      <c r="L650" s="329"/>
      <c r="M650" s="326"/>
      <c r="N650" s="327"/>
      <c r="O650" s="327"/>
    </row>
    <row r="651" spans="1:15" x14ac:dyDescent="0.2">
      <c r="A651" s="329"/>
      <c r="B651" s="329"/>
      <c r="C651" s="330"/>
      <c r="D651" s="330"/>
      <c r="E651" s="330"/>
      <c r="F651" s="330"/>
      <c r="G651" s="330"/>
      <c r="H651" s="330"/>
      <c r="I651" s="330"/>
      <c r="J651" s="330"/>
      <c r="K651" s="330"/>
      <c r="L651" s="329"/>
      <c r="M651" s="326"/>
      <c r="N651" s="327"/>
      <c r="O651" s="327"/>
    </row>
    <row r="652" spans="1:15" x14ac:dyDescent="0.2">
      <c r="A652" s="329"/>
      <c r="B652" s="329"/>
      <c r="C652" s="330"/>
      <c r="D652" s="330"/>
      <c r="E652" s="330"/>
      <c r="F652" s="330"/>
      <c r="G652" s="330"/>
      <c r="H652" s="330"/>
      <c r="I652" s="330"/>
      <c r="J652" s="330"/>
      <c r="K652" s="330"/>
      <c r="L652" s="329"/>
      <c r="M652" s="326"/>
      <c r="N652" s="327"/>
      <c r="O652" s="327"/>
    </row>
    <row r="653" spans="1:15" x14ac:dyDescent="0.2">
      <c r="A653" s="329"/>
      <c r="B653" s="329"/>
      <c r="C653" s="330"/>
      <c r="D653" s="330"/>
      <c r="E653" s="330"/>
      <c r="F653" s="330"/>
      <c r="G653" s="330"/>
      <c r="H653" s="330"/>
      <c r="I653" s="330"/>
      <c r="J653" s="330"/>
      <c r="K653" s="330"/>
      <c r="L653" s="329"/>
      <c r="M653" s="326"/>
      <c r="N653" s="327"/>
      <c r="O653" s="327"/>
    </row>
    <row r="654" spans="1:15" x14ac:dyDescent="0.2">
      <c r="A654" s="329"/>
      <c r="B654" s="329"/>
      <c r="C654" s="330"/>
      <c r="D654" s="330"/>
      <c r="E654" s="330"/>
      <c r="F654" s="330"/>
      <c r="G654" s="330"/>
      <c r="H654" s="330"/>
      <c r="I654" s="330"/>
      <c r="J654" s="330"/>
      <c r="K654" s="330"/>
      <c r="L654" s="329"/>
      <c r="M654" s="326"/>
      <c r="N654" s="327"/>
      <c r="O654" s="327"/>
    </row>
    <row r="655" spans="1:15" x14ac:dyDescent="0.2">
      <c r="A655" s="329"/>
      <c r="B655" s="329"/>
      <c r="C655" s="330"/>
      <c r="D655" s="330"/>
      <c r="E655" s="330"/>
      <c r="F655" s="330"/>
      <c r="G655" s="330"/>
      <c r="H655" s="330"/>
      <c r="I655" s="330"/>
      <c r="J655" s="330"/>
      <c r="K655" s="330"/>
      <c r="L655" s="329"/>
      <c r="M655" s="326"/>
      <c r="N655" s="327"/>
      <c r="O655" s="327"/>
    </row>
    <row r="656" spans="1:15" x14ac:dyDescent="0.2">
      <c r="A656" s="329"/>
      <c r="B656" s="329"/>
      <c r="C656" s="330"/>
      <c r="D656" s="330"/>
      <c r="E656" s="330"/>
      <c r="F656" s="330"/>
      <c r="G656" s="330"/>
      <c r="H656" s="330"/>
      <c r="I656" s="330"/>
      <c r="J656" s="330"/>
      <c r="K656" s="330"/>
      <c r="L656" s="329"/>
      <c r="M656" s="326"/>
      <c r="N656" s="327"/>
      <c r="O656" s="327"/>
    </row>
    <row r="657" spans="1:15" x14ac:dyDescent="0.2">
      <c r="A657" s="329"/>
      <c r="B657" s="329"/>
      <c r="C657" s="330"/>
      <c r="D657" s="330"/>
      <c r="E657" s="330"/>
      <c r="F657" s="330"/>
      <c r="G657" s="330"/>
      <c r="H657" s="330"/>
      <c r="I657" s="330"/>
      <c r="J657" s="330"/>
      <c r="K657" s="330"/>
      <c r="L657" s="329"/>
      <c r="M657" s="326"/>
      <c r="N657" s="327"/>
      <c r="O657" s="327"/>
    </row>
    <row r="658" spans="1:15" x14ac:dyDescent="0.2">
      <c r="A658" s="329"/>
      <c r="B658" s="329"/>
      <c r="C658" s="330"/>
      <c r="D658" s="330"/>
      <c r="E658" s="330"/>
      <c r="F658" s="330"/>
      <c r="G658" s="330"/>
      <c r="H658" s="330"/>
      <c r="I658" s="330"/>
      <c r="J658" s="330"/>
      <c r="K658" s="330"/>
      <c r="L658" s="329"/>
      <c r="M658" s="326"/>
      <c r="N658" s="327"/>
      <c r="O658" s="327"/>
    </row>
    <row r="659" spans="1:15" x14ac:dyDescent="0.2">
      <c r="A659" s="329"/>
      <c r="B659" s="329"/>
      <c r="C659" s="330"/>
      <c r="D659" s="330"/>
      <c r="E659" s="330"/>
      <c r="F659" s="330"/>
      <c r="G659" s="330"/>
      <c r="H659" s="330"/>
      <c r="I659" s="330"/>
      <c r="J659" s="330"/>
      <c r="K659" s="330"/>
      <c r="L659" s="329"/>
      <c r="M659" s="326"/>
      <c r="N659" s="327"/>
      <c r="O659" s="327"/>
    </row>
    <row r="660" spans="1:15" x14ac:dyDescent="0.2">
      <c r="A660" s="329"/>
      <c r="B660" s="329"/>
      <c r="C660" s="330"/>
      <c r="D660" s="330"/>
      <c r="E660" s="330"/>
      <c r="F660" s="330"/>
      <c r="G660" s="330"/>
      <c r="H660" s="330"/>
      <c r="I660" s="330"/>
      <c r="J660" s="330"/>
      <c r="K660" s="330"/>
      <c r="L660" s="329"/>
      <c r="M660" s="326"/>
      <c r="N660" s="327"/>
      <c r="O660" s="327"/>
    </row>
    <row r="661" spans="1:15" x14ac:dyDescent="0.2">
      <c r="A661" s="329"/>
      <c r="B661" s="329"/>
      <c r="C661" s="330"/>
      <c r="D661" s="330"/>
      <c r="E661" s="330"/>
      <c r="F661" s="330"/>
      <c r="G661" s="330"/>
      <c r="H661" s="330"/>
      <c r="I661" s="330"/>
      <c r="J661" s="330"/>
      <c r="K661" s="330"/>
      <c r="L661" s="329"/>
      <c r="M661" s="326"/>
      <c r="N661" s="327"/>
      <c r="O661" s="327"/>
    </row>
    <row r="662" spans="1:15" x14ac:dyDescent="0.2">
      <c r="A662" s="329"/>
      <c r="B662" s="329"/>
      <c r="C662" s="330"/>
      <c r="D662" s="330"/>
      <c r="E662" s="330"/>
      <c r="F662" s="330"/>
      <c r="G662" s="330"/>
      <c r="H662" s="330"/>
      <c r="I662" s="330"/>
      <c r="J662" s="330"/>
      <c r="K662" s="330"/>
      <c r="L662" s="329"/>
      <c r="M662" s="326"/>
      <c r="N662" s="327"/>
      <c r="O662" s="327"/>
    </row>
    <row r="663" spans="1:15" x14ac:dyDescent="0.2">
      <c r="A663" s="329"/>
      <c r="B663" s="329"/>
      <c r="C663" s="330"/>
      <c r="D663" s="330"/>
      <c r="E663" s="330"/>
      <c r="F663" s="330"/>
      <c r="G663" s="330"/>
      <c r="H663" s="330"/>
      <c r="I663" s="330"/>
      <c r="J663" s="330"/>
      <c r="K663" s="330"/>
      <c r="L663" s="329"/>
      <c r="M663" s="326"/>
      <c r="N663" s="327"/>
      <c r="O663" s="327"/>
    </row>
    <row r="664" spans="1:15" x14ac:dyDescent="0.2">
      <c r="A664" s="329"/>
      <c r="B664" s="329"/>
      <c r="C664" s="330"/>
      <c r="D664" s="330"/>
      <c r="E664" s="330"/>
      <c r="F664" s="330"/>
      <c r="G664" s="330"/>
      <c r="H664" s="330"/>
      <c r="I664" s="330"/>
      <c r="J664" s="330"/>
      <c r="K664" s="330"/>
      <c r="L664" s="329"/>
      <c r="M664" s="326"/>
      <c r="N664" s="327"/>
      <c r="O664" s="327"/>
    </row>
    <row r="665" spans="1:15" x14ac:dyDescent="0.2">
      <c r="A665" s="329"/>
      <c r="B665" s="329"/>
      <c r="C665" s="330"/>
      <c r="D665" s="330"/>
      <c r="E665" s="330"/>
      <c r="F665" s="330"/>
      <c r="G665" s="330"/>
      <c r="H665" s="330"/>
      <c r="I665" s="330"/>
      <c r="J665" s="330"/>
      <c r="K665" s="330"/>
      <c r="L665" s="329"/>
      <c r="M665" s="326"/>
      <c r="N665" s="327"/>
      <c r="O665" s="327"/>
    </row>
    <row r="666" spans="1:15" x14ac:dyDescent="0.2">
      <c r="A666" s="329"/>
      <c r="B666" s="329"/>
      <c r="C666" s="330"/>
      <c r="D666" s="330"/>
      <c r="E666" s="330"/>
      <c r="F666" s="330"/>
      <c r="G666" s="330"/>
      <c r="H666" s="330"/>
      <c r="I666" s="330"/>
      <c r="J666" s="330"/>
      <c r="K666" s="330"/>
      <c r="L666" s="329"/>
      <c r="M666" s="326"/>
      <c r="N666" s="327"/>
      <c r="O666" s="327"/>
    </row>
    <row r="667" spans="1:15" x14ac:dyDescent="0.2">
      <c r="A667" s="329"/>
      <c r="B667" s="329"/>
      <c r="C667" s="330"/>
      <c r="D667" s="330"/>
      <c r="E667" s="330"/>
      <c r="F667" s="330"/>
      <c r="G667" s="330"/>
      <c r="H667" s="330"/>
      <c r="I667" s="330"/>
      <c r="J667" s="330"/>
      <c r="K667" s="330"/>
      <c r="L667" s="329"/>
      <c r="M667" s="326"/>
      <c r="N667" s="327"/>
      <c r="O667" s="327"/>
    </row>
    <row r="668" spans="1:15" x14ac:dyDescent="0.2">
      <c r="A668" s="329"/>
      <c r="B668" s="329"/>
      <c r="C668" s="330"/>
      <c r="D668" s="330"/>
      <c r="E668" s="330"/>
      <c r="F668" s="330"/>
      <c r="G668" s="330"/>
      <c r="H668" s="330"/>
      <c r="I668" s="330"/>
      <c r="J668" s="330"/>
      <c r="K668" s="330"/>
      <c r="L668" s="329"/>
      <c r="M668" s="326"/>
      <c r="N668" s="327"/>
      <c r="O668" s="327"/>
    </row>
    <row r="669" spans="1:15" x14ac:dyDescent="0.2">
      <c r="A669" s="329"/>
      <c r="B669" s="329"/>
      <c r="C669" s="330"/>
      <c r="D669" s="330"/>
      <c r="E669" s="330"/>
      <c r="F669" s="330"/>
      <c r="G669" s="330"/>
      <c r="H669" s="330"/>
      <c r="I669" s="330"/>
      <c r="J669" s="330"/>
      <c r="K669" s="330"/>
      <c r="L669" s="329"/>
      <c r="M669" s="326"/>
      <c r="N669" s="327"/>
      <c r="O669" s="327"/>
    </row>
    <row r="670" spans="1:15" x14ac:dyDescent="0.2">
      <c r="A670" s="329"/>
      <c r="B670" s="329"/>
      <c r="C670" s="330"/>
      <c r="D670" s="330"/>
      <c r="E670" s="330"/>
      <c r="F670" s="330"/>
      <c r="G670" s="330"/>
      <c r="H670" s="330"/>
      <c r="I670" s="330"/>
      <c r="J670" s="330"/>
      <c r="K670" s="330"/>
      <c r="L670" s="329"/>
      <c r="M670" s="326"/>
      <c r="N670" s="327"/>
      <c r="O670" s="327"/>
    </row>
    <row r="671" spans="1:15" x14ac:dyDescent="0.2">
      <c r="A671" s="329"/>
      <c r="B671" s="329"/>
      <c r="C671" s="330"/>
      <c r="D671" s="330"/>
      <c r="E671" s="330"/>
      <c r="F671" s="330"/>
      <c r="G671" s="330"/>
      <c r="H671" s="330"/>
      <c r="I671" s="330"/>
      <c r="J671" s="330"/>
      <c r="K671" s="330"/>
      <c r="L671" s="329"/>
      <c r="M671" s="326"/>
      <c r="N671" s="327"/>
      <c r="O671" s="327"/>
    </row>
    <row r="672" spans="1:15" x14ac:dyDescent="0.2">
      <c r="A672" s="329"/>
      <c r="B672" s="329"/>
      <c r="C672" s="330"/>
      <c r="D672" s="330"/>
      <c r="E672" s="330"/>
      <c r="F672" s="330"/>
      <c r="G672" s="330"/>
      <c r="H672" s="330"/>
      <c r="I672" s="330"/>
      <c r="J672" s="330"/>
      <c r="K672" s="330"/>
      <c r="L672" s="329"/>
      <c r="M672" s="326"/>
      <c r="N672" s="327"/>
      <c r="O672" s="327"/>
    </row>
    <row r="673" spans="1:15" x14ac:dyDescent="0.2">
      <c r="A673" s="329"/>
      <c r="B673" s="329"/>
      <c r="C673" s="330"/>
      <c r="D673" s="330"/>
      <c r="E673" s="330"/>
      <c r="F673" s="330"/>
      <c r="G673" s="330"/>
      <c r="H673" s="330"/>
      <c r="I673" s="330"/>
      <c r="J673" s="330"/>
      <c r="K673" s="330"/>
      <c r="L673" s="329"/>
      <c r="M673" s="326"/>
      <c r="N673" s="327"/>
      <c r="O673" s="327"/>
    </row>
    <row r="674" spans="1:15" x14ac:dyDescent="0.2">
      <c r="A674" s="329"/>
      <c r="B674" s="329"/>
      <c r="C674" s="330"/>
      <c r="D674" s="330"/>
      <c r="E674" s="330"/>
      <c r="F674" s="330"/>
      <c r="G674" s="330"/>
      <c r="H674" s="330"/>
      <c r="I674" s="330"/>
      <c r="J674" s="330"/>
      <c r="K674" s="330"/>
      <c r="L674" s="329"/>
      <c r="M674" s="326"/>
      <c r="N674" s="327"/>
      <c r="O674" s="327"/>
    </row>
    <row r="675" spans="1:15" x14ac:dyDescent="0.2">
      <c r="A675" s="329"/>
      <c r="B675" s="329"/>
      <c r="C675" s="330"/>
      <c r="D675" s="330"/>
      <c r="E675" s="330"/>
      <c r="F675" s="330"/>
      <c r="G675" s="330"/>
      <c r="H675" s="330"/>
      <c r="I675" s="330"/>
      <c r="J675" s="330"/>
      <c r="K675" s="330"/>
      <c r="L675" s="329"/>
      <c r="M675" s="326"/>
      <c r="N675" s="327"/>
      <c r="O675" s="327"/>
    </row>
    <row r="676" spans="1:15" x14ac:dyDescent="0.2">
      <c r="A676" s="329"/>
      <c r="B676" s="329"/>
      <c r="C676" s="330"/>
      <c r="D676" s="330"/>
      <c r="E676" s="330"/>
      <c r="F676" s="330"/>
      <c r="G676" s="330"/>
      <c r="H676" s="330"/>
      <c r="I676" s="330"/>
      <c r="J676" s="330"/>
      <c r="K676" s="330"/>
      <c r="L676" s="329"/>
      <c r="M676" s="326"/>
      <c r="N676" s="327"/>
      <c r="O676" s="327"/>
    </row>
    <row r="677" spans="1:15" x14ac:dyDescent="0.2">
      <c r="A677" s="329"/>
      <c r="B677" s="329"/>
      <c r="C677" s="330"/>
      <c r="D677" s="330"/>
      <c r="E677" s="330"/>
      <c r="F677" s="330"/>
      <c r="G677" s="330"/>
      <c r="H677" s="330"/>
      <c r="I677" s="330"/>
      <c r="J677" s="330"/>
      <c r="K677" s="330"/>
      <c r="L677" s="329"/>
      <c r="M677" s="326"/>
      <c r="N677" s="327"/>
      <c r="O677" s="327"/>
    </row>
    <row r="678" spans="1:15" x14ac:dyDescent="0.2">
      <c r="A678" s="329"/>
      <c r="B678" s="329"/>
      <c r="C678" s="330"/>
      <c r="D678" s="330"/>
      <c r="E678" s="330"/>
      <c r="F678" s="330"/>
      <c r="G678" s="330"/>
      <c r="H678" s="330"/>
      <c r="I678" s="330"/>
      <c r="J678" s="330"/>
      <c r="K678" s="330"/>
      <c r="L678" s="329"/>
      <c r="M678" s="326"/>
      <c r="N678" s="327"/>
      <c r="O678" s="327"/>
    </row>
    <row r="679" spans="1:15" x14ac:dyDescent="0.2">
      <c r="A679" s="329"/>
      <c r="B679" s="329"/>
      <c r="C679" s="330"/>
      <c r="D679" s="330"/>
      <c r="E679" s="330"/>
      <c r="F679" s="330"/>
      <c r="G679" s="330"/>
      <c r="H679" s="330"/>
      <c r="I679" s="330"/>
      <c r="J679" s="330"/>
      <c r="K679" s="330"/>
      <c r="L679" s="329"/>
      <c r="M679" s="326"/>
      <c r="N679" s="327"/>
      <c r="O679" s="327"/>
    </row>
    <row r="680" spans="1:15" x14ac:dyDescent="0.2">
      <c r="A680" s="329"/>
      <c r="B680" s="329"/>
      <c r="C680" s="330"/>
      <c r="D680" s="330"/>
      <c r="E680" s="330"/>
      <c r="F680" s="330"/>
      <c r="G680" s="330"/>
      <c r="H680" s="330"/>
      <c r="I680" s="330"/>
      <c r="J680" s="330"/>
      <c r="K680" s="330"/>
      <c r="L680" s="329"/>
      <c r="M680" s="326"/>
      <c r="N680" s="327"/>
      <c r="O680" s="327"/>
    </row>
    <row r="681" spans="1:15" x14ac:dyDescent="0.2">
      <c r="A681" s="329"/>
      <c r="B681" s="329"/>
      <c r="C681" s="330"/>
      <c r="D681" s="330"/>
      <c r="E681" s="330"/>
      <c r="F681" s="330"/>
      <c r="G681" s="330"/>
      <c r="H681" s="330"/>
      <c r="I681" s="330"/>
      <c r="J681" s="330"/>
      <c r="K681" s="330"/>
      <c r="L681" s="329"/>
      <c r="M681" s="326"/>
      <c r="N681" s="327"/>
      <c r="O681" s="327"/>
    </row>
    <row r="682" spans="1:15" x14ac:dyDescent="0.2">
      <c r="A682" s="329"/>
      <c r="B682" s="329"/>
      <c r="C682" s="330"/>
      <c r="D682" s="330"/>
      <c r="E682" s="330"/>
      <c r="F682" s="330"/>
      <c r="G682" s="330"/>
      <c r="H682" s="330"/>
      <c r="I682" s="330"/>
      <c r="J682" s="330"/>
      <c r="K682" s="330"/>
      <c r="L682" s="329"/>
      <c r="M682" s="326"/>
      <c r="N682" s="327"/>
      <c r="O682" s="327"/>
    </row>
    <row r="683" spans="1:15" x14ac:dyDescent="0.2">
      <c r="A683" s="329"/>
      <c r="B683" s="329"/>
      <c r="C683" s="330"/>
      <c r="D683" s="330"/>
      <c r="E683" s="330"/>
      <c r="F683" s="330"/>
      <c r="G683" s="330"/>
      <c r="H683" s="330"/>
      <c r="I683" s="330"/>
      <c r="J683" s="330"/>
      <c r="K683" s="330"/>
      <c r="L683" s="329"/>
      <c r="M683" s="326"/>
      <c r="N683" s="327"/>
      <c r="O683" s="327"/>
    </row>
    <row r="684" spans="1:15" x14ac:dyDescent="0.2">
      <c r="A684" s="329"/>
      <c r="B684" s="329"/>
      <c r="C684" s="330"/>
      <c r="D684" s="330"/>
      <c r="E684" s="330"/>
      <c r="F684" s="330"/>
      <c r="G684" s="330"/>
      <c r="H684" s="330"/>
      <c r="I684" s="330"/>
      <c r="J684" s="330"/>
      <c r="K684" s="330"/>
      <c r="L684" s="329"/>
      <c r="M684" s="326"/>
      <c r="N684" s="327"/>
      <c r="O684" s="327"/>
    </row>
    <row r="685" spans="1:15" x14ac:dyDescent="0.2">
      <c r="A685" s="329"/>
      <c r="B685" s="329"/>
      <c r="C685" s="330"/>
      <c r="D685" s="330"/>
      <c r="E685" s="330"/>
      <c r="F685" s="330"/>
      <c r="G685" s="330"/>
      <c r="H685" s="330"/>
      <c r="I685" s="330"/>
      <c r="J685" s="330"/>
      <c r="K685" s="330"/>
      <c r="L685" s="329"/>
      <c r="M685" s="326"/>
      <c r="N685" s="327"/>
      <c r="O685" s="327"/>
    </row>
    <row r="686" spans="1:15" x14ac:dyDescent="0.2">
      <c r="A686" s="329"/>
      <c r="B686" s="329"/>
      <c r="C686" s="330"/>
      <c r="D686" s="330"/>
      <c r="E686" s="330"/>
      <c r="F686" s="330"/>
      <c r="G686" s="330"/>
      <c r="H686" s="330"/>
      <c r="I686" s="330"/>
      <c r="J686" s="330"/>
      <c r="K686" s="330"/>
      <c r="L686" s="329"/>
      <c r="M686" s="326"/>
      <c r="N686" s="327"/>
      <c r="O686" s="327"/>
    </row>
    <row r="687" spans="1:15" x14ac:dyDescent="0.2">
      <c r="A687" s="329"/>
      <c r="B687" s="329"/>
      <c r="C687" s="330"/>
      <c r="D687" s="330"/>
      <c r="E687" s="330"/>
      <c r="F687" s="330"/>
      <c r="G687" s="330"/>
      <c r="H687" s="330"/>
      <c r="I687" s="330"/>
      <c r="J687" s="330"/>
      <c r="K687" s="330"/>
      <c r="L687" s="329"/>
      <c r="M687" s="326"/>
      <c r="N687" s="327"/>
      <c r="O687" s="327"/>
    </row>
    <row r="688" spans="1:15" x14ac:dyDescent="0.2">
      <c r="A688" s="329"/>
      <c r="B688" s="329"/>
      <c r="C688" s="330"/>
      <c r="D688" s="330"/>
      <c r="E688" s="330"/>
      <c r="F688" s="330"/>
      <c r="G688" s="330"/>
      <c r="H688" s="330"/>
      <c r="I688" s="330"/>
      <c r="J688" s="330"/>
      <c r="K688" s="330"/>
      <c r="L688" s="329"/>
      <c r="M688" s="326"/>
      <c r="N688" s="327"/>
      <c r="O688" s="327"/>
    </row>
    <row r="689" spans="1:15" x14ac:dyDescent="0.2">
      <c r="A689" s="329"/>
      <c r="B689" s="329"/>
      <c r="C689" s="330"/>
      <c r="D689" s="330"/>
      <c r="E689" s="330"/>
      <c r="F689" s="330"/>
      <c r="G689" s="330"/>
      <c r="H689" s="330"/>
      <c r="I689" s="330"/>
      <c r="J689" s="330"/>
      <c r="K689" s="330"/>
      <c r="L689" s="329"/>
      <c r="M689" s="326"/>
      <c r="N689" s="327"/>
      <c r="O689" s="327"/>
    </row>
    <row r="690" spans="1:15" x14ac:dyDescent="0.2">
      <c r="A690" s="329"/>
      <c r="B690" s="329"/>
      <c r="C690" s="330"/>
      <c r="D690" s="330"/>
      <c r="E690" s="330"/>
      <c r="F690" s="330"/>
      <c r="G690" s="330"/>
      <c r="H690" s="330"/>
      <c r="I690" s="330"/>
      <c r="J690" s="330"/>
      <c r="K690" s="330"/>
      <c r="L690" s="329"/>
      <c r="M690" s="326"/>
      <c r="N690" s="327"/>
      <c r="O690" s="327"/>
    </row>
    <row r="691" spans="1:15" x14ac:dyDescent="0.2">
      <c r="A691" s="329"/>
      <c r="B691" s="329"/>
      <c r="C691" s="330"/>
      <c r="D691" s="330"/>
      <c r="E691" s="330"/>
      <c r="F691" s="330"/>
      <c r="G691" s="330"/>
      <c r="H691" s="330"/>
      <c r="I691" s="330"/>
      <c r="J691" s="330"/>
      <c r="K691" s="330"/>
      <c r="L691" s="329"/>
      <c r="M691" s="326"/>
      <c r="N691" s="327"/>
      <c r="O691" s="327"/>
    </row>
    <row r="692" spans="1:15" x14ac:dyDescent="0.2">
      <c r="A692" s="329"/>
      <c r="B692" s="329"/>
      <c r="C692" s="330"/>
      <c r="D692" s="330"/>
      <c r="E692" s="330"/>
      <c r="F692" s="330"/>
      <c r="G692" s="330"/>
      <c r="H692" s="330"/>
      <c r="I692" s="330"/>
      <c r="J692" s="330"/>
      <c r="K692" s="330"/>
      <c r="L692" s="329"/>
      <c r="M692" s="326"/>
      <c r="N692" s="327"/>
      <c r="O692" s="327"/>
    </row>
    <row r="693" spans="1:15" x14ac:dyDescent="0.2">
      <c r="A693" s="329"/>
      <c r="B693" s="329"/>
      <c r="C693" s="330"/>
      <c r="D693" s="330"/>
      <c r="E693" s="330"/>
      <c r="F693" s="330"/>
      <c r="G693" s="330"/>
      <c r="H693" s="330"/>
      <c r="I693" s="330"/>
      <c r="J693" s="330"/>
      <c r="K693" s="330"/>
      <c r="L693" s="329"/>
      <c r="M693" s="326"/>
      <c r="N693" s="327"/>
      <c r="O693" s="327"/>
    </row>
    <row r="694" spans="1:15" x14ac:dyDescent="0.2">
      <c r="A694" s="329"/>
      <c r="B694" s="329"/>
      <c r="C694" s="330"/>
      <c r="D694" s="330"/>
      <c r="E694" s="330"/>
      <c r="F694" s="330"/>
      <c r="G694" s="330"/>
      <c r="H694" s="330"/>
      <c r="I694" s="330"/>
      <c r="J694" s="330"/>
      <c r="K694" s="330"/>
      <c r="L694" s="329"/>
      <c r="M694" s="326"/>
      <c r="N694" s="327"/>
      <c r="O694" s="327"/>
    </row>
    <row r="695" spans="1:15" x14ac:dyDescent="0.2">
      <c r="A695" s="329"/>
      <c r="B695" s="329"/>
      <c r="C695" s="330"/>
      <c r="D695" s="330"/>
      <c r="E695" s="330"/>
      <c r="F695" s="330"/>
      <c r="G695" s="330"/>
      <c r="H695" s="330"/>
      <c r="I695" s="330"/>
      <c r="J695" s="330"/>
      <c r="K695" s="330"/>
      <c r="L695" s="329"/>
      <c r="M695" s="326"/>
      <c r="N695" s="327"/>
      <c r="O695" s="327"/>
    </row>
    <row r="696" spans="1:15" x14ac:dyDescent="0.2">
      <c r="A696" s="329"/>
      <c r="B696" s="329"/>
      <c r="C696" s="330"/>
      <c r="D696" s="330"/>
      <c r="E696" s="330"/>
      <c r="F696" s="330"/>
      <c r="G696" s="330"/>
      <c r="H696" s="330"/>
      <c r="I696" s="330"/>
      <c r="J696" s="330"/>
      <c r="K696" s="330"/>
      <c r="L696" s="329"/>
      <c r="M696" s="326"/>
      <c r="N696" s="327"/>
      <c r="O696" s="327"/>
    </row>
    <row r="697" spans="1:15" x14ac:dyDescent="0.2">
      <c r="A697" s="329"/>
      <c r="B697" s="329"/>
      <c r="C697" s="330"/>
      <c r="D697" s="330"/>
      <c r="E697" s="330"/>
      <c r="F697" s="330"/>
      <c r="G697" s="330"/>
      <c r="H697" s="330"/>
      <c r="I697" s="330"/>
      <c r="J697" s="330"/>
      <c r="K697" s="330"/>
      <c r="L697" s="329"/>
      <c r="M697" s="326"/>
      <c r="N697" s="327"/>
      <c r="O697" s="327"/>
    </row>
    <row r="698" spans="1:15" x14ac:dyDescent="0.2">
      <c r="A698" s="329"/>
      <c r="B698" s="329"/>
      <c r="C698" s="330"/>
      <c r="D698" s="330"/>
      <c r="E698" s="330"/>
      <c r="F698" s="330"/>
      <c r="G698" s="330"/>
      <c r="H698" s="330"/>
      <c r="I698" s="330"/>
      <c r="J698" s="330"/>
      <c r="K698" s="330"/>
      <c r="L698" s="329"/>
      <c r="M698" s="326"/>
      <c r="N698" s="327"/>
      <c r="O698" s="327"/>
    </row>
    <row r="699" spans="1:15" x14ac:dyDescent="0.2">
      <c r="A699" s="329"/>
      <c r="B699" s="329"/>
      <c r="C699" s="330"/>
      <c r="D699" s="330"/>
      <c r="E699" s="330"/>
      <c r="F699" s="330"/>
      <c r="G699" s="330"/>
      <c r="H699" s="330"/>
      <c r="I699" s="330"/>
      <c r="J699" s="330"/>
      <c r="K699" s="330"/>
      <c r="L699" s="329"/>
      <c r="M699" s="326"/>
      <c r="N699" s="327"/>
      <c r="O699" s="327"/>
    </row>
    <row r="700" spans="1:15" x14ac:dyDescent="0.2">
      <c r="A700" s="329"/>
      <c r="B700" s="329"/>
      <c r="C700" s="330"/>
      <c r="D700" s="330"/>
      <c r="E700" s="330"/>
      <c r="F700" s="330"/>
      <c r="G700" s="330"/>
      <c r="H700" s="330"/>
      <c r="I700" s="330"/>
      <c r="J700" s="330"/>
      <c r="K700" s="330"/>
      <c r="L700" s="329"/>
      <c r="M700" s="326"/>
      <c r="N700" s="327"/>
      <c r="O700" s="327"/>
    </row>
    <row r="701" spans="1:15" x14ac:dyDescent="0.2">
      <c r="A701" s="329"/>
      <c r="B701" s="329"/>
      <c r="C701" s="330"/>
      <c r="D701" s="330"/>
      <c r="E701" s="330"/>
      <c r="F701" s="330"/>
      <c r="G701" s="330"/>
      <c r="H701" s="330"/>
      <c r="I701" s="330"/>
      <c r="J701" s="330"/>
      <c r="K701" s="330"/>
      <c r="L701" s="329"/>
      <c r="M701" s="326"/>
      <c r="N701" s="327"/>
      <c r="O701" s="327"/>
    </row>
    <row r="702" spans="1:15" x14ac:dyDescent="0.2">
      <c r="A702" s="329"/>
      <c r="B702" s="329"/>
      <c r="C702" s="330"/>
      <c r="D702" s="330"/>
      <c r="E702" s="330"/>
      <c r="F702" s="330"/>
      <c r="G702" s="330"/>
      <c r="H702" s="330"/>
      <c r="I702" s="330"/>
      <c r="J702" s="330"/>
      <c r="K702" s="330"/>
      <c r="L702" s="329"/>
      <c r="M702" s="326"/>
      <c r="N702" s="327"/>
      <c r="O702" s="327"/>
    </row>
    <row r="703" spans="1:15" x14ac:dyDescent="0.2">
      <c r="A703" s="329"/>
      <c r="B703" s="329"/>
      <c r="C703" s="330"/>
      <c r="D703" s="330"/>
      <c r="E703" s="330"/>
      <c r="F703" s="330"/>
      <c r="G703" s="330"/>
      <c r="H703" s="330"/>
      <c r="I703" s="330"/>
      <c r="J703" s="330"/>
      <c r="K703" s="330"/>
      <c r="L703" s="329"/>
      <c r="M703" s="326"/>
      <c r="N703" s="327"/>
      <c r="O703" s="327"/>
    </row>
    <row r="704" spans="1:15" x14ac:dyDescent="0.2">
      <c r="A704" s="329"/>
      <c r="B704" s="329"/>
      <c r="C704" s="330"/>
      <c r="D704" s="330"/>
      <c r="E704" s="330"/>
      <c r="F704" s="330"/>
      <c r="G704" s="330"/>
      <c r="H704" s="330"/>
      <c r="I704" s="330"/>
      <c r="J704" s="330"/>
      <c r="K704" s="330"/>
      <c r="L704" s="329"/>
      <c r="M704" s="326"/>
      <c r="N704" s="327"/>
      <c r="O704" s="327"/>
    </row>
    <row r="705" spans="1:15" x14ac:dyDescent="0.2">
      <c r="A705" s="329"/>
      <c r="B705" s="329"/>
      <c r="C705" s="330"/>
      <c r="D705" s="330"/>
      <c r="E705" s="330"/>
      <c r="F705" s="330"/>
      <c r="G705" s="330"/>
      <c r="H705" s="330"/>
      <c r="I705" s="330"/>
      <c r="J705" s="330"/>
      <c r="K705" s="330"/>
      <c r="L705" s="329"/>
      <c r="M705" s="326"/>
      <c r="N705" s="327"/>
      <c r="O705" s="327"/>
    </row>
    <row r="706" spans="1:15" x14ac:dyDescent="0.2">
      <c r="A706" s="329"/>
      <c r="B706" s="329"/>
      <c r="C706" s="330"/>
      <c r="D706" s="330"/>
      <c r="E706" s="330"/>
      <c r="F706" s="330"/>
      <c r="G706" s="330"/>
      <c r="H706" s="330"/>
      <c r="I706" s="330"/>
      <c r="J706" s="330"/>
      <c r="K706" s="330"/>
      <c r="L706" s="329"/>
      <c r="M706" s="326"/>
      <c r="N706" s="327"/>
      <c r="O706" s="327"/>
    </row>
    <row r="707" spans="1:15" x14ac:dyDescent="0.2">
      <c r="A707" s="329"/>
      <c r="B707" s="329"/>
      <c r="C707" s="330"/>
      <c r="D707" s="330"/>
      <c r="E707" s="330"/>
      <c r="F707" s="330"/>
      <c r="G707" s="330"/>
      <c r="H707" s="330"/>
      <c r="I707" s="330"/>
      <c r="J707" s="330"/>
      <c r="K707" s="330"/>
      <c r="L707" s="329"/>
      <c r="M707" s="326"/>
      <c r="N707" s="327"/>
      <c r="O707" s="327"/>
    </row>
    <row r="708" spans="1:15" x14ac:dyDescent="0.2">
      <c r="A708" s="329"/>
      <c r="B708" s="329"/>
      <c r="C708" s="330"/>
      <c r="D708" s="330"/>
      <c r="E708" s="330"/>
      <c r="F708" s="330"/>
      <c r="G708" s="330"/>
      <c r="H708" s="330"/>
      <c r="I708" s="330"/>
      <c r="J708" s="330"/>
      <c r="K708" s="330"/>
      <c r="L708" s="329"/>
      <c r="M708" s="326"/>
      <c r="N708" s="327"/>
      <c r="O708" s="327"/>
    </row>
    <row r="709" spans="1:15" x14ac:dyDescent="0.2">
      <c r="A709" s="329"/>
      <c r="B709" s="329"/>
      <c r="C709" s="330"/>
      <c r="D709" s="330"/>
      <c r="E709" s="330"/>
      <c r="F709" s="330"/>
      <c r="G709" s="330"/>
      <c r="H709" s="330"/>
      <c r="I709" s="330"/>
      <c r="J709" s="330"/>
      <c r="K709" s="330"/>
      <c r="L709" s="329"/>
      <c r="M709" s="326"/>
      <c r="N709" s="327"/>
      <c r="O709" s="327"/>
    </row>
    <row r="710" spans="1:15" x14ac:dyDescent="0.2">
      <c r="A710" s="329"/>
      <c r="B710" s="329"/>
      <c r="C710" s="330"/>
      <c r="D710" s="330"/>
      <c r="E710" s="330"/>
      <c r="F710" s="330"/>
      <c r="G710" s="330"/>
      <c r="H710" s="330"/>
      <c r="I710" s="330"/>
      <c r="J710" s="330"/>
      <c r="K710" s="330"/>
      <c r="L710" s="329"/>
      <c r="M710" s="326"/>
      <c r="N710" s="327"/>
      <c r="O710" s="327"/>
    </row>
    <row r="711" spans="1:15" x14ac:dyDescent="0.2">
      <c r="A711" s="329"/>
      <c r="B711" s="329"/>
      <c r="C711" s="330"/>
      <c r="D711" s="330"/>
      <c r="E711" s="330"/>
      <c r="F711" s="330"/>
      <c r="G711" s="330"/>
      <c r="H711" s="330"/>
      <c r="I711" s="330"/>
      <c r="J711" s="330"/>
      <c r="K711" s="330"/>
      <c r="L711" s="329"/>
      <c r="M711" s="326"/>
      <c r="N711" s="327"/>
      <c r="O711" s="327"/>
    </row>
    <row r="712" spans="1:15" x14ac:dyDescent="0.2">
      <c r="A712" s="329"/>
      <c r="B712" s="329"/>
      <c r="C712" s="330"/>
      <c r="D712" s="330"/>
      <c r="E712" s="330"/>
      <c r="F712" s="330"/>
      <c r="G712" s="330"/>
      <c r="H712" s="330"/>
      <c r="I712" s="330"/>
      <c r="J712" s="330"/>
      <c r="K712" s="330"/>
      <c r="L712" s="329"/>
      <c r="M712" s="326"/>
      <c r="N712" s="327"/>
      <c r="O712" s="327"/>
    </row>
  </sheetData>
  <sheetProtection password="F2E4" sheet="1" objects="1" scenarios="1" selectLockedCells="1"/>
  <mergeCells count="10">
    <mergeCell ref="A38:M38"/>
    <mergeCell ref="C1:J2"/>
    <mergeCell ref="C4:I5"/>
    <mergeCell ref="I33:J33"/>
    <mergeCell ref="I34:J34"/>
    <mergeCell ref="I35:J35"/>
    <mergeCell ref="E33:H33"/>
    <mergeCell ref="A33:D33"/>
    <mergeCell ref="D31:J31"/>
    <mergeCell ref="K1:L1"/>
  </mergeCells>
  <pageMargins left="0.79027777777777775" right="0.78749999999999998" top="0.54027777777777775" bottom="0.78749999999999998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0"/>
  <sheetViews>
    <sheetView workbookViewId="0">
      <selection activeCell="G4" sqref="G4"/>
    </sheetView>
  </sheetViews>
  <sheetFormatPr defaultColWidth="11.42578125" defaultRowHeight="12" x14ac:dyDescent="0.2"/>
  <cols>
    <col min="1" max="1" width="27.5703125" style="42" customWidth="1"/>
    <col min="2" max="4" width="4.7109375" style="43" customWidth="1"/>
    <col min="5" max="5" width="5.85546875" style="43" customWidth="1"/>
    <col min="6" max="6" width="6.28515625" style="43" customWidth="1"/>
    <col min="7" max="7" width="9.42578125" style="44" customWidth="1"/>
    <col min="8" max="10" width="5.7109375" style="45" customWidth="1"/>
    <col min="11" max="12" width="7.7109375" style="43" customWidth="1"/>
    <col min="13" max="13" width="9.140625" style="46" customWidth="1"/>
    <col min="14" max="14" width="0.42578125" style="43" customWidth="1"/>
    <col min="15" max="15" width="3.7109375" style="43" customWidth="1"/>
    <col min="16" max="16" width="19.85546875" style="43" customWidth="1"/>
    <col min="17" max="18" width="11.42578125" style="43"/>
    <col min="19" max="19" width="7.7109375" style="43" customWidth="1"/>
    <col min="20" max="20" width="2.28515625" style="43" customWidth="1"/>
    <col min="21" max="21" width="24.85546875" style="43" customWidth="1"/>
    <col min="22" max="16384" width="11.42578125" style="43"/>
  </cols>
  <sheetData>
    <row r="1" spans="1:22" s="49" customFormat="1" ht="17.25" customHeight="1" thickBot="1" x14ac:dyDescent="0.35">
      <c r="A1" s="640" t="s">
        <v>138</v>
      </c>
      <c r="B1" s="642" t="s">
        <v>141</v>
      </c>
      <c r="C1" s="642"/>
      <c r="D1" s="642"/>
      <c r="E1" s="642"/>
      <c r="F1" s="102"/>
      <c r="G1" s="103" t="s">
        <v>140</v>
      </c>
      <c r="H1" s="643" t="s">
        <v>142</v>
      </c>
      <c r="I1" s="643"/>
      <c r="J1" s="643"/>
      <c r="K1" s="104" t="s">
        <v>143</v>
      </c>
      <c r="L1" s="581" t="s">
        <v>144</v>
      </c>
      <c r="M1" s="105" t="s">
        <v>117</v>
      </c>
      <c r="N1" s="47"/>
      <c r="O1" s="48"/>
      <c r="P1" s="488" t="s">
        <v>373</v>
      </c>
      <c r="Q1" s="48"/>
      <c r="R1" s="48"/>
      <c r="S1" s="48"/>
      <c r="T1" s="583"/>
    </row>
    <row r="2" spans="1:22" s="49" customFormat="1" ht="12.75" customHeight="1" thickBot="1" x14ac:dyDescent="0.25">
      <c r="A2" s="641"/>
      <c r="B2" s="106" t="s">
        <v>8</v>
      </c>
      <c r="C2" s="107" t="s">
        <v>9</v>
      </c>
      <c r="D2" s="107" t="s">
        <v>10</v>
      </c>
      <c r="E2" s="108" t="s">
        <v>144</v>
      </c>
      <c r="F2" s="109" t="s">
        <v>145</v>
      </c>
      <c r="G2" s="110" t="s">
        <v>139</v>
      </c>
      <c r="H2" s="111" t="s">
        <v>8</v>
      </c>
      <c r="I2" s="112" t="s">
        <v>9</v>
      </c>
      <c r="J2" s="113" t="s">
        <v>10</v>
      </c>
      <c r="K2" s="114" t="s">
        <v>5</v>
      </c>
      <c r="L2" s="582"/>
      <c r="M2" s="115"/>
      <c r="N2" s="47"/>
      <c r="O2" s="48"/>
      <c r="P2" s="644" t="s">
        <v>76</v>
      </c>
      <c r="Q2" s="644"/>
      <c r="R2" s="644"/>
      <c r="S2" s="644"/>
      <c r="T2" s="583"/>
      <c r="U2" s="462" t="s">
        <v>348</v>
      </c>
      <c r="V2" s="53">
        <f>(K14+K19+K20+K21+K22)+(K15+K16+K17+K36+K37)/1.5</f>
        <v>20747.182666666664</v>
      </c>
    </row>
    <row r="3" spans="1:22" s="49" customFormat="1" ht="18" customHeight="1" thickBot="1" x14ac:dyDescent="0.25">
      <c r="A3" s="142" t="s">
        <v>101</v>
      </c>
      <c r="B3" s="143"/>
      <c r="C3" s="143"/>
      <c r="D3" s="143"/>
      <c r="E3" s="143"/>
      <c r="F3" s="143"/>
      <c r="G3" s="192" t="s">
        <v>118</v>
      </c>
      <c r="H3" s="144"/>
      <c r="I3" s="144"/>
      <c r="J3" s="144"/>
      <c r="K3" s="145"/>
      <c r="L3" s="145"/>
      <c r="M3" s="146"/>
      <c r="N3" s="47"/>
      <c r="O3" s="48"/>
      <c r="P3" s="644"/>
      <c r="Q3" s="644"/>
      <c r="R3" s="644"/>
      <c r="S3" s="644"/>
      <c r="T3" s="583"/>
      <c r="U3" s="50" t="s">
        <v>347</v>
      </c>
      <c r="V3" s="51">
        <v>0</v>
      </c>
    </row>
    <row r="4" spans="1:22" s="49" customFormat="1" ht="12.75" x14ac:dyDescent="0.2">
      <c r="A4" s="117" t="s">
        <v>106</v>
      </c>
      <c r="B4" s="118">
        <v>0</v>
      </c>
      <c r="C4" s="118">
        <v>0.2</v>
      </c>
      <c r="D4" s="118">
        <v>0</v>
      </c>
      <c r="E4" s="118">
        <v>0</v>
      </c>
      <c r="F4" s="252">
        <f t="shared" ref="F4:F10" si="0">100-B4-C4-D4-E4</f>
        <v>99.8</v>
      </c>
      <c r="G4" s="129">
        <v>7</v>
      </c>
      <c r="H4" s="119">
        <f>$G4*B4*100/100</f>
        <v>0</v>
      </c>
      <c r="I4" s="120">
        <f>$G4*C4*100/100</f>
        <v>1.4</v>
      </c>
      <c r="J4" s="120">
        <f>$G4*D4*100/100</f>
        <v>0</v>
      </c>
      <c r="K4" s="121">
        <f t="shared" ref="K4:K9" si="1">H4*16.7+I4*37.6+J4*16.7</f>
        <v>52.64</v>
      </c>
      <c r="L4" s="122">
        <f>$G4*E4*100/100</f>
        <v>0</v>
      </c>
      <c r="M4" s="122">
        <f>$G4*F4*100/100</f>
        <v>698.6</v>
      </c>
      <c r="N4" s="47"/>
      <c r="O4" s="48"/>
      <c r="P4" s="48" t="s">
        <v>77</v>
      </c>
      <c r="Q4" s="52">
        <f>K54</f>
        <v>40764.184000000001</v>
      </c>
      <c r="R4" s="48" t="s">
        <v>5</v>
      </c>
      <c r="S4" s="48"/>
      <c r="T4" s="583"/>
      <c r="U4" s="50" t="s">
        <v>38</v>
      </c>
      <c r="V4" s="53">
        <f>SUM(K13,K24:K31,K9,K8,K9,K10)+K33/2</f>
        <v>0</v>
      </c>
    </row>
    <row r="5" spans="1:22" s="49" customFormat="1" ht="12.75" x14ac:dyDescent="0.2">
      <c r="A5" s="123" t="s">
        <v>107</v>
      </c>
      <c r="B5" s="124">
        <v>2</v>
      </c>
      <c r="C5" s="124">
        <v>21</v>
      </c>
      <c r="D5" s="124">
        <v>20</v>
      </c>
      <c r="E5" s="124">
        <v>0</v>
      </c>
      <c r="F5" s="252">
        <f t="shared" si="0"/>
        <v>57</v>
      </c>
      <c r="G5" s="130"/>
      <c r="H5" s="125">
        <f>$G5*B5*250/100</f>
        <v>0</v>
      </c>
      <c r="I5" s="126">
        <f>$G5*C5*250/100</f>
        <v>0</v>
      </c>
      <c r="J5" s="126">
        <f>$G5*D5*250/100</f>
        <v>0</v>
      </c>
      <c r="K5" s="127">
        <f t="shared" si="1"/>
        <v>0</v>
      </c>
      <c r="L5" s="122">
        <f t="shared" ref="L5:L10" si="2">$G5*E5*100/100</f>
        <v>0</v>
      </c>
      <c r="M5" s="128">
        <f>$G5*F5*250/100</f>
        <v>0</v>
      </c>
      <c r="N5" s="47"/>
      <c r="O5" s="48"/>
      <c r="P5" s="48" t="s">
        <v>78</v>
      </c>
      <c r="Q5" s="48"/>
      <c r="R5" s="48"/>
      <c r="S5" s="48"/>
      <c r="T5" s="583"/>
      <c r="U5" s="50" t="s">
        <v>68</v>
      </c>
      <c r="V5" s="53">
        <f>SUM(K46:K49)</f>
        <v>0</v>
      </c>
    </row>
    <row r="6" spans="1:22" s="49" customFormat="1" ht="12.75" x14ac:dyDescent="0.2">
      <c r="A6" s="123" t="s">
        <v>108</v>
      </c>
      <c r="B6" s="124">
        <v>11</v>
      </c>
      <c r="C6" s="124">
        <v>0</v>
      </c>
      <c r="D6" s="124">
        <v>0</v>
      </c>
      <c r="E6" s="124">
        <v>0</v>
      </c>
      <c r="F6" s="252">
        <f t="shared" si="0"/>
        <v>89</v>
      </c>
      <c r="G6" s="130"/>
      <c r="H6" s="125">
        <f>$G6*B6*330/100</f>
        <v>0</v>
      </c>
      <c r="I6" s="126">
        <f>$G6*C6*330/100</f>
        <v>0</v>
      </c>
      <c r="J6" s="126">
        <f>$G6*D6*330/100</f>
        <v>0</v>
      </c>
      <c r="K6" s="127">
        <f t="shared" si="1"/>
        <v>0</v>
      </c>
      <c r="L6" s="122">
        <f t="shared" si="2"/>
        <v>0</v>
      </c>
      <c r="M6" s="128">
        <f>$G6*F6*330/100</f>
        <v>0</v>
      </c>
      <c r="N6" s="47"/>
      <c r="O6" s="48"/>
      <c r="P6" s="645"/>
      <c r="Q6" s="645"/>
      <c r="R6" s="645"/>
      <c r="S6" s="645"/>
      <c r="T6" s="583"/>
      <c r="U6" s="50" t="s">
        <v>39</v>
      </c>
      <c r="V6" s="53">
        <f>K5+SUM(K40:K44)</f>
        <v>1973.37</v>
      </c>
    </row>
    <row r="7" spans="1:22" s="49" customFormat="1" ht="12.75" x14ac:dyDescent="0.2">
      <c r="A7" s="123" t="s">
        <v>109</v>
      </c>
      <c r="B7" s="128">
        <v>0</v>
      </c>
      <c r="C7" s="128">
        <v>0</v>
      </c>
      <c r="D7" s="128">
        <v>0</v>
      </c>
      <c r="E7" s="128">
        <v>0</v>
      </c>
      <c r="F7" s="252">
        <f t="shared" si="0"/>
        <v>100</v>
      </c>
      <c r="G7" s="130">
        <v>2</v>
      </c>
      <c r="H7" s="125">
        <f t="shared" ref="H7:J9" si="3">$G7*B7*200/100</f>
        <v>0</v>
      </c>
      <c r="I7" s="126">
        <f t="shared" si="3"/>
        <v>0</v>
      </c>
      <c r="J7" s="126">
        <f t="shared" si="3"/>
        <v>0</v>
      </c>
      <c r="K7" s="127">
        <f t="shared" si="1"/>
        <v>0</v>
      </c>
      <c r="L7" s="122">
        <f t="shared" si="2"/>
        <v>0</v>
      </c>
      <c r="M7" s="128">
        <f>$G7*F7*200/100</f>
        <v>400</v>
      </c>
      <c r="N7" s="47"/>
      <c r="O7" s="48"/>
      <c r="P7" s="645"/>
      <c r="Q7" s="645"/>
      <c r="R7" s="645"/>
      <c r="S7" s="645"/>
      <c r="T7" s="583"/>
      <c r="U7" s="50" t="s">
        <v>362</v>
      </c>
      <c r="V7" s="53">
        <f>K40+(K18+K34+K35+K36+K37+K40)/2</f>
        <v>5715.9719999999998</v>
      </c>
    </row>
    <row r="8" spans="1:22" s="49" customFormat="1" ht="12.75" x14ac:dyDescent="0.2">
      <c r="A8" s="123" t="s">
        <v>680</v>
      </c>
      <c r="B8" s="128">
        <v>14.5</v>
      </c>
      <c r="C8" s="128">
        <v>0</v>
      </c>
      <c r="D8" s="128">
        <v>0.3</v>
      </c>
      <c r="E8" s="128">
        <v>0.4</v>
      </c>
      <c r="F8" s="252">
        <f t="shared" si="0"/>
        <v>84.8</v>
      </c>
      <c r="G8" s="130"/>
      <c r="H8" s="125">
        <f t="shared" si="3"/>
        <v>0</v>
      </c>
      <c r="I8" s="126">
        <f t="shared" si="3"/>
        <v>0</v>
      </c>
      <c r="J8" s="126">
        <f t="shared" si="3"/>
        <v>0</v>
      </c>
      <c r="K8" s="127">
        <f t="shared" si="1"/>
        <v>0</v>
      </c>
      <c r="L8" s="122">
        <f t="shared" si="2"/>
        <v>0</v>
      </c>
      <c r="M8" s="128">
        <f>$G8*F8*200/100</f>
        <v>0</v>
      </c>
      <c r="N8" s="47"/>
      <c r="O8" s="48"/>
      <c r="P8" s="645"/>
      <c r="Q8" s="645"/>
      <c r="R8" s="645"/>
      <c r="S8" s="645"/>
      <c r="T8" s="583"/>
      <c r="U8" s="462" t="s">
        <v>359</v>
      </c>
      <c r="V8" s="49">
        <f>K38+(K6+K8+K9+K15+K16+K17+K18+K19+K33+K34+K35+K36+K37)/2</f>
        <v>20538.087</v>
      </c>
    </row>
    <row r="9" spans="1:22" s="49" customFormat="1" ht="12.75" x14ac:dyDescent="0.2">
      <c r="A9" s="123" t="s">
        <v>111</v>
      </c>
      <c r="B9" s="128">
        <v>13</v>
      </c>
      <c r="C9" s="128">
        <v>0</v>
      </c>
      <c r="D9" s="128">
        <v>0.5</v>
      </c>
      <c r="E9" s="128">
        <v>0.6</v>
      </c>
      <c r="F9" s="252">
        <f t="shared" si="0"/>
        <v>85.9</v>
      </c>
      <c r="G9" s="130"/>
      <c r="H9" s="125">
        <f t="shared" si="3"/>
        <v>0</v>
      </c>
      <c r="I9" s="126">
        <f t="shared" si="3"/>
        <v>0</v>
      </c>
      <c r="J9" s="126">
        <f t="shared" si="3"/>
        <v>0</v>
      </c>
      <c r="K9" s="127">
        <f t="shared" si="1"/>
        <v>0</v>
      </c>
      <c r="L9" s="122">
        <f t="shared" si="2"/>
        <v>0</v>
      </c>
      <c r="M9" s="128">
        <f>$G9*F9*200/100</f>
        <v>0</v>
      </c>
      <c r="N9" s="47"/>
      <c r="O9" s="48"/>
      <c r="P9" s="645"/>
      <c r="Q9" s="645"/>
      <c r="R9" s="645"/>
      <c r="S9" s="645"/>
      <c r="T9" s="583"/>
    </row>
    <row r="10" spans="1:22" s="49" customFormat="1" ht="12.75" x14ac:dyDescent="0.2">
      <c r="A10" s="134" t="s">
        <v>365</v>
      </c>
      <c r="B10" s="135">
        <v>9</v>
      </c>
      <c r="C10" s="135">
        <v>0</v>
      </c>
      <c r="D10" s="135">
        <v>0.7</v>
      </c>
      <c r="E10" s="135">
        <v>0</v>
      </c>
      <c r="F10" s="252">
        <f t="shared" si="0"/>
        <v>90.3</v>
      </c>
      <c r="G10" s="137"/>
      <c r="H10" s="138">
        <f t="shared" ref="H10" si="4">$G10*B10*200/100</f>
        <v>0</v>
      </c>
      <c r="I10" s="139">
        <f t="shared" ref="I10" si="5">$G10*C10*200/100</f>
        <v>0</v>
      </c>
      <c r="J10" s="139">
        <f t="shared" ref="J10" si="6">$G10*D10*200/100</f>
        <v>0</v>
      </c>
      <c r="K10" s="140">
        <f t="shared" ref="K10" si="7">H10*16.7+I10*37.6+J10*16.7</f>
        <v>0</v>
      </c>
      <c r="L10" s="122">
        <f t="shared" si="2"/>
        <v>0</v>
      </c>
      <c r="M10" s="135">
        <f>$G10*F10*200/100</f>
        <v>0</v>
      </c>
      <c r="N10" s="47"/>
      <c r="O10" s="48"/>
      <c r="P10" s="645"/>
      <c r="Q10" s="645"/>
      <c r="R10" s="645"/>
      <c r="S10" s="645"/>
      <c r="T10" s="583"/>
    </row>
    <row r="11" spans="1:22" s="49" customFormat="1" ht="13.5" thickBot="1" x14ac:dyDescent="0.25">
      <c r="A11" s="232" t="s">
        <v>166</v>
      </c>
      <c r="B11" s="229">
        <v>0.1</v>
      </c>
      <c r="C11" s="229">
        <v>0</v>
      </c>
      <c r="D11" s="229">
        <v>0.1</v>
      </c>
      <c r="E11" s="228">
        <v>0</v>
      </c>
      <c r="F11" s="252">
        <f>100-B11-C11-D11-E11</f>
        <v>99.800000000000011</v>
      </c>
      <c r="G11" s="251"/>
      <c r="H11" s="270">
        <f>$G11*B11*150/100</f>
        <v>0</v>
      </c>
      <c r="I11" s="176">
        <f>$G11*C11*150/100</f>
        <v>0</v>
      </c>
      <c r="J11" s="176">
        <f>$G11*D11*150/100</f>
        <v>0</v>
      </c>
      <c r="K11" s="230">
        <f t="shared" ref="K11" si="8">H11*16.7+I11*37.6+J11*16.7</f>
        <v>0</v>
      </c>
      <c r="L11" s="122">
        <f>$G11*E11*100/100</f>
        <v>0</v>
      </c>
      <c r="M11" s="176">
        <f>$G11*F11*150/100</f>
        <v>0</v>
      </c>
      <c r="N11" s="47"/>
      <c r="O11" s="48"/>
      <c r="P11" s="645"/>
      <c r="Q11" s="645"/>
      <c r="R11" s="645"/>
      <c r="S11" s="645"/>
      <c r="T11" s="583"/>
    </row>
    <row r="12" spans="1:22" s="49" customFormat="1" ht="12.75" thickBot="1" x14ac:dyDescent="0.25">
      <c r="A12" s="147" t="s">
        <v>102</v>
      </c>
      <c r="B12" s="148"/>
      <c r="C12" s="148"/>
      <c r="D12" s="148"/>
      <c r="E12" s="148"/>
      <c r="F12" s="148"/>
      <c r="G12" s="149"/>
      <c r="H12" s="150"/>
      <c r="I12" s="150"/>
      <c r="J12" s="150"/>
      <c r="K12" s="151"/>
      <c r="L12" s="151"/>
      <c r="M12" s="152"/>
      <c r="N12" s="47"/>
      <c r="O12" s="48"/>
      <c r="P12" s="645"/>
      <c r="Q12" s="645"/>
      <c r="R12" s="645"/>
      <c r="S12" s="645"/>
      <c r="T12" s="583"/>
    </row>
    <row r="13" spans="1:22" s="49" customFormat="1" x14ac:dyDescent="0.2">
      <c r="A13" s="156" t="s">
        <v>126</v>
      </c>
      <c r="B13" s="122">
        <v>63</v>
      </c>
      <c r="C13" s="122">
        <v>0.5</v>
      </c>
      <c r="D13" s="122">
        <v>4</v>
      </c>
      <c r="E13" s="122">
        <v>5</v>
      </c>
      <c r="F13" s="136">
        <f>100-B13-C13-D13-E13</f>
        <v>27.5</v>
      </c>
      <c r="G13" s="141">
        <v>0</v>
      </c>
      <c r="H13" s="119">
        <f>$G13*B13*40/100</f>
        <v>0</v>
      </c>
      <c r="I13" s="120">
        <f>$G13*C13*40/100</f>
        <v>0</v>
      </c>
      <c r="J13" s="120">
        <f>$G13*D13*40/100</f>
        <v>0</v>
      </c>
      <c r="K13" s="121">
        <f t="shared" ref="K13:K22" si="9">H13*16.7+I13*37.6+J13*16.7</f>
        <v>0</v>
      </c>
      <c r="L13" s="122">
        <f>$G13*E13*100/100</f>
        <v>0</v>
      </c>
      <c r="M13" s="122">
        <f>$G13*F13*40/100</f>
        <v>0</v>
      </c>
      <c r="N13" s="47"/>
      <c r="O13" s="48"/>
      <c r="P13" s="645"/>
      <c r="Q13" s="645"/>
      <c r="R13" s="645"/>
      <c r="S13" s="645"/>
      <c r="T13" s="583"/>
    </row>
    <row r="14" spans="1:22" s="49" customFormat="1" x14ac:dyDescent="0.2">
      <c r="A14" s="158" t="s">
        <v>120</v>
      </c>
      <c r="B14" s="128">
        <v>75</v>
      </c>
      <c r="C14" s="128">
        <v>2.5</v>
      </c>
      <c r="D14" s="128">
        <v>10</v>
      </c>
      <c r="E14" s="128">
        <v>1</v>
      </c>
      <c r="F14" s="136">
        <f t="shared" ref="F14:F22" si="10">100-B14-C14-D14-E14</f>
        <v>11.5</v>
      </c>
      <c r="G14" s="131">
        <v>0</v>
      </c>
      <c r="H14" s="125">
        <f>$G14*B14*10/100</f>
        <v>0</v>
      </c>
      <c r="I14" s="126">
        <f>$G14*C14*10/100</f>
        <v>0</v>
      </c>
      <c r="J14" s="126">
        <f>$G14*D14*10/100</f>
        <v>0</v>
      </c>
      <c r="K14" s="127">
        <f t="shared" si="9"/>
        <v>0</v>
      </c>
      <c r="L14" s="122">
        <f t="shared" ref="L14:L21" si="11">$G14*E14*100/100</f>
        <v>0</v>
      </c>
      <c r="M14" s="128">
        <f>$G14*F14*10/100</f>
        <v>0</v>
      </c>
      <c r="N14" s="47"/>
      <c r="O14" s="48"/>
      <c r="P14" s="645"/>
      <c r="Q14" s="645"/>
      <c r="R14" s="645"/>
      <c r="S14" s="645"/>
      <c r="T14" s="583"/>
    </row>
    <row r="15" spans="1:22" s="49" customFormat="1" x14ac:dyDescent="0.2">
      <c r="A15" s="158" t="s">
        <v>684</v>
      </c>
      <c r="B15" s="128">
        <v>44</v>
      </c>
      <c r="C15" s="128">
        <v>1</v>
      </c>
      <c r="D15" s="128">
        <v>4</v>
      </c>
      <c r="E15" s="128">
        <v>7.1</v>
      </c>
      <c r="F15" s="136">
        <f t="shared" si="10"/>
        <v>43.9</v>
      </c>
      <c r="G15" s="131"/>
      <c r="H15" s="125">
        <f>$G15*B15*40/100</f>
        <v>0</v>
      </c>
      <c r="I15" s="126">
        <f>$G15*C15*40/100</f>
        <v>0</v>
      </c>
      <c r="J15" s="126">
        <f>$G15*D15*40/100</f>
        <v>0</v>
      </c>
      <c r="K15" s="127">
        <f t="shared" si="9"/>
        <v>0</v>
      </c>
      <c r="L15" s="122">
        <f t="shared" si="11"/>
        <v>0</v>
      </c>
      <c r="M15" s="128">
        <f>$G15*F15*40/100</f>
        <v>0</v>
      </c>
      <c r="N15" s="47"/>
      <c r="O15" s="48"/>
      <c r="P15" s="645"/>
      <c r="Q15" s="645"/>
      <c r="R15" s="645"/>
      <c r="S15" s="645"/>
      <c r="T15" s="583"/>
    </row>
    <row r="16" spans="1:22" s="49" customFormat="1" x14ac:dyDescent="0.2">
      <c r="A16" s="158" t="s">
        <v>193</v>
      </c>
      <c r="B16" s="128">
        <v>22</v>
      </c>
      <c r="C16" s="128">
        <v>9</v>
      </c>
      <c r="D16" s="128">
        <v>3</v>
      </c>
      <c r="E16" s="128">
        <v>1</v>
      </c>
      <c r="F16" s="136">
        <f t="shared" si="10"/>
        <v>65</v>
      </c>
      <c r="G16" s="131"/>
      <c r="H16" s="125">
        <f>$G16*B16*100/100</f>
        <v>0</v>
      </c>
      <c r="I16" s="126">
        <f>$G16*C16*100/100</f>
        <v>0</v>
      </c>
      <c r="J16" s="126">
        <f>$G16*D16*100/100</f>
        <v>0</v>
      </c>
      <c r="K16" s="127">
        <f t="shared" si="9"/>
        <v>0</v>
      </c>
      <c r="L16" s="122">
        <f t="shared" si="11"/>
        <v>0</v>
      </c>
      <c r="M16" s="128">
        <f>$G16*F16*100/100</f>
        <v>0</v>
      </c>
      <c r="N16" s="47"/>
      <c r="O16" s="48"/>
      <c r="P16" s="645"/>
      <c r="Q16" s="645"/>
      <c r="R16" s="645"/>
      <c r="S16" s="645"/>
      <c r="T16" s="583"/>
    </row>
    <row r="17" spans="1:20" s="49" customFormat="1" x14ac:dyDescent="0.2">
      <c r="A17" s="158" t="s">
        <v>194</v>
      </c>
      <c r="B17" s="128">
        <v>77</v>
      </c>
      <c r="C17" s="128">
        <v>10</v>
      </c>
      <c r="D17" s="128">
        <v>5.6</v>
      </c>
      <c r="E17" s="128">
        <v>1</v>
      </c>
      <c r="F17" s="136">
        <f t="shared" si="10"/>
        <v>6.4</v>
      </c>
      <c r="G17" s="131">
        <v>35</v>
      </c>
      <c r="H17" s="125">
        <f>$G17*B17*50/100</f>
        <v>1347.5</v>
      </c>
      <c r="I17" s="126">
        <f>$G17*C17*15/100</f>
        <v>52.5</v>
      </c>
      <c r="J17" s="126">
        <f>$G17*D17*15/100</f>
        <v>29.4</v>
      </c>
      <c r="K17" s="127">
        <f t="shared" si="9"/>
        <v>24968.23</v>
      </c>
      <c r="L17" s="122">
        <f t="shared" si="11"/>
        <v>35</v>
      </c>
      <c r="M17" s="128">
        <f>$G17*F17*15/100</f>
        <v>33.6</v>
      </c>
      <c r="N17" s="47"/>
      <c r="O17" s="48"/>
      <c r="P17" s="645"/>
      <c r="Q17" s="645"/>
      <c r="R17" s="645"/>
      <c r="S17" s="645"/>
      <c r="T17" s="583"/>
    </row>
    <row r="18" spans="1:20" s="49" customFormat="1" x14ac:dyDescent="0.2">
      <c r="A18" s="158" t="s">
        <v>195</v>
      </c>
      <c r="B18" s="128">
        <v>33</v>
      </c>
      <c r="C18" s="128">
        <v>14</v>
      </c>
      <c r="D18" s="128">
        <v>5</v>
      </c>
      <c r="E18" s="128">
        <v>1</v>
      </c>
      <c r="F18" s="136">
        <f t="shared" si="10"/>
        <v>47</v>
      </c>
      <c r="G18" s="131">
        <v>2</v>
      </c>
      <c r="H18" s="125">
        <f>$G18*B18*120/100</f>
        <v>79.2</v>
      </c>
      <c r="I18" s="126">
        <f>$G18*C18*120/100</f>
        <v>33.6</v>
      </c>
      <c r="J18" s="126">
        <f>$G18*D18*120/100</f>
        <v>12</v>
      </c>
      <c r="K18" s="127">
        <f t="shared" si="9"/>
        <v>2786.4</v>
      </c>
      <c r="L18" s="122">
        <f t="shared" si="11"/>
        <v>2</v>
      </c>
      <c r="M18" s="128">
        <f>$G18*F18*120/100</f>
        <v>112.8</v>
      </c>
      <c r="N18" s="47"/>
      <c r="O18" s="48"/>
      <c r="P18" s="48" t="s">
        <v>57</v>
      </c>
      <c r="Q18" s="52">
        <f>M54</f>
        <v>2520.58</v>
      </c>
      <c r="R18" s="48" t="s">
        <v>74</v>
      </c>
      <c r="S18" s="48"/>
      <c r="T18" s="583"/>
    </row>
    <row r="19" spans="1:20" s="49" customFormat="1" ht="12.75" thickBot="1" x14ac:dyDescent="0.25">
      <c r="A19" s="158" t="s">
        <v>122</v>
      </c>
      <c r="B19" s="128">
        <v>20</v>
      </c>
      <c r="C19" s="128">
        <v>3</v>
      </c>
      <c r="D19" s="128">
        <v>3</v>
      </c>
      <c r="E19" s="128">
        <v>1</v>
      </c>
      <c r="F19" s="136">
        <f t="shared" si="10"/>
        <v>73</v>
      </c>
      <c r="G19" s="131"/>
      <c r="H19" s="125">
        <f>$G19*B19*100/100</f>
        <v>0</v>
      </c>
      <c r="I19" s="126">
        <f>$G19*C19*100/100</f>
        <v>0</v>
      </c>
      <c r="J19" s="126">
        <f>$G19*D19*100/100</f>
        <v>0</v>
      </c>
      <c r="K19" s="127">
        <f t="shared" si="9"/>
        <v>0</v>
      </c>
      <c r="L19" s="122">
        <f t="shared" si="11"/>
        <v>0</v>
      </c>
      <c r="M19" s="128">
        <f>$G19*F19*100/100</f>
        <v>0</v>
      </c>
      <c r="N19" s="47"/>
      <c r="O19" s="48"/>
      <c r="P19" s="54" t="s">
        <v>73</v>
      </c>
      <c r="Q19" s="55">
        <f>Q18/1000</f>
        <v>2.5205799999999998</v>
      </c>
      <c r="R19" s="48" t="s">
        <v>75</v>
      </c>
      <c r="S19" s="48"/>
      <c r="T19" s="583"/>
    </row>
    <row r="20" spans="1:20" s="49" customFormat="1" ht="12" customHeight="1" thickBot="1" x14ac:dyDescent="0.25">
      <c r="A20" s="158" t="s">
        <v>123</v>
      </c>
      <c r="B20" s="128">
        <v>41</v>
      </c>
      <c r="C20" s="128">
        <v>9</v>
      </c>
      <c r="D20" s="128">
        <v>6</v>
      </c>
      <c r="E20" s="128">
        <v>1.7</v>
      </c>
      <c r="F20" s="136">
        <f t="shared" si="10"/>
        <v>42.3</v>
      </c>
      <c r="G20" s="131"/>
      <c r="H20" s="125">
        <f>$G20*B20*200/100</f>
        <v>0</v>
      </c>
      <c r="I20" s="126">
        <f>$G20*C20*200/100</f>
        <v>0</v>
      </c>
      <c r="J20" s="126">
        <f>$G20*D20*200/100</f>
        <v>0</v>
      </c>
      <c r="K20" s="127">
        <f t="shared" si="9"/>
        <v>0</v>
      </c>
      <c r="L20" s="122">
        <f t="shared" si="11"/>
        <v>0</v>
      </c>
      <c r="M20" s="128">
        <f>$G20*F20*200/100</f>
        <v>0</v>
      </c>
      <c r="N20" s="47"/>
      <c r="O20" s="48"/>
      <c r="P20" s="637" t="s">
        <v>79</v>
      </c>
      <c r="Q20" s="637"/>
      <c r="R20" s="637"/>
      <c r="S20" s="637"/>
      <c r="T20" s="583"/>
    </row>
    <row r="21" spans="1:20" s="49" customFormat="1" ht="12.75" customHeight="1" thickBot="1" x14ac:dyDescent="0.25">
      <c r="A21" s="158" t="s">
        <v>124</v>
      </c>
      <c r="B21" s="128">
        <v>49</v>
      </c>
      <c r="C21" s="128">
        <v>0.9</v>
      </c>
      <c r="D21" s="128">
        <v>7</v>
      </c>
      <c r="E21" s="128">
        <v>1</v>
      </c>
      <c r="F21" s="136">
        <f t="shared" si="10"/>
        <v>42.1</v>
      </c>
      <c r="G21" s="131"/>
      <c r="H21" s="125">
        <f>$G21*B21*30/100</f>
        <v>0</v>
      </c>
      <c r="I21" s="126">
        <f>$G21*C21*30/100</f>
        <v>0</v>
      </c>
      <c r="J21" s="126">
        <f>$G21*D21*30/100</f>
        <v>0</v>
      </c>
      <c r="K21" s="127">
        <f t="shared" si="9"/>
        <v>0</v>
      </c>
      <c r="L21" s="122">
        <f t="shared" si="11"/>
        <v>0</v>
      </c>
      <c r="M21" s="128">
        <f>$G21*F21*30/100</f>
        <v>0</v>
      </c>
      <c r="N21" s="47"/>
      <c r="O21" s="48"/>
      <c r="P21" s="637"/>
      <c r="Q21" s="637"/>
      <c r="R21" s="637"/>
      <c r="S21" s="637"/>
      <c r="T21" s="583"/>
    </row>
    <row r="22" spans="1:20" s="49" customFormat="1" ht="12.75" thickBot="1" x14ac:dyDescent="0.25">
      <c r="A22" s="159" t="s">
        <v>177</v>
      </c>
      <c r="B22" s="135">
        <v>49</v>
      </c>
      <c r="C22" s="135">
        <v>1</v>
      </c>
      <c r="D22" s="135">
        <v>8</v>
      </c>
      <c r="E22" s="135">
        <v>4.4000000000000004</v>
      </c>
      <c r="F22" s="136">
        <f t="shared" si="10"/>
        <v>37.6</v>
      </c>
      <c r="G22" s="153"/>
      <c r="H22" s="138">
        <f>$G22*B22*20/100</f>
        <v>0</v>
      </c>
      <c r="I22" s="139">
        <f>$G22*C22*20/100</f>
        <v>0</v>
      </c>
      <c r="J22" s="139">
        <f>$G22*D22*20/100</f>
        <v>0</v>
      </c>
      <c r="K22" s="140">
        <f t="shared" si="9"/>
        <v>0</v>
      </c>
      <c r="L22" s="122">
        <f t="shared" ref="L22" si="12">$G22*E22*30/100</f>
        <v>0</v>
      </c>
      <c r="M22" s="135">
        <f>$G22*F22*20/100</f>
        <v>0</v>
      </c>
      <c r="N22" s="47"/>
      <c r="O22" s="56"/>
      <c r="P22" s="637"/>
      <c r="Q22" s="637"/>
      <c r="R22" s="637"/>
      <c r="S22" s="637"/>
      <c r="T22" s="583"/>
    </row>
    <row r="23" spans="1:20" s="49" customFormat="1" ht="12.75" thickBot="1" x14ac:dyDescent="0.25">
      <c r="A23" s="154" t="s">
        <v>112</v>
      </c>
      <c r="B23" s="155"/>
      <c r="C23" s="155"/>
      <c r="D23" s="155"/>
      <c r="E23" s="155"/>
      <c r="F23" s="155"/>
      <c r="G23" s="149"/>
      <c r="H23" s="150"/>
      <c r="I23" s="150"/>
      <c r="J23" s="150"/>
      <c r="K23" s="151"/>
      <c r="L23" s="151"/>
      <c r="M23" s="152"/>
      <c r="N23" s="47"/>
      <c r="O23" s="48"/>
      <c r="P23" s="48"/>
      <c r="Q23" s="48"/>
      <c r="R23" s="48"/>
      <c r="S23" s="48"/>
      <c r="T23" s="583"/>
    </row>
    <row r="24" spans="1:20" s="49" customFormat="1" ht="12.75" x14ac:dyDescent="0.2">
      <c r="A24" s="117" t="s">
        <v>205</v>
      </c>
      <c r="B24" s="118">
        <v>3.9</v>
      </c>
      <c r="C24" s="118">
        <v>63.7</v>
      </c>
      <c r="D24" s="118">
        <v>15.8</v>
      </c>
      <c r="E24" s="118">
        <v>6.2</v>
      </c>
      <c r="F24" s="136">
        <f t="shared" ref="F24:F25" si="13">100-B24-C24-D24-E24</f>
        <v>10.399999999999991</v>
      </c>
      <c r="G24" s="141"/>
      <c r="H24" s="119">
        <f t="shared" ref="H24:J24" si="14">$G24*B24*30/100</f>
        <v>0</v>
      </c>
      <c r="I24" s="120">
        <f t="shared" si="14"/>
        <v>0</v>
      </c>
      <c r="J24" s="120">
        <f t="shared" si="14"/>
        <v>0</v>
      </c>
      <c r="K24" s="121">
        <f t="shared" ref="K24:K25" si="15">H24*16.7+I24*37.6+J24*16.7</f>
        <v>0</v>
      </c>
      <c r="L24" s="122">
        <f t="shared" ref="L24" si="16">$G24*E24*30/100</f>
        <v>0</v>
      </c>
      <c r="M24" s="122">
        <f>$G24*F24*40/100</f>
        <v>0</v>
      </c>
      <c r="N24" s="47"/>
      <c r="O24" s="48"/>
      <c r="P24" s="48"/>
      <c r="Q24" s="458" t="s">
        <v>341</v>
      </c>
      <c r="R24" s="458" t="s">
        <v>342</v>
      </c>
      <c r="S24" s="48"/>
      <c r="T24" s="583"/>
    </row>
    <row r="25" spans="1:20" s="49" customFormat="1" x14ac:dyDescent="0.2">
      <c r="A25" s="117" t="s">
        <v>681</v>
      </c>
      <c r="B25" s="118">
        <v>10</v>
      </c>
      <c r="C25" s="118">
        <v>0</v>
      </c>
      <c r="D25" s="118">
        <v>0.7</v>
      </c>
      <c r="E25" s="118">
        <v>1.3</v>
      </c>
      <c r="F25" s="136">
        <f t="shared" si="13"/>
        <v>88</v>
      </c>
      <c r="G25" s="141">
        <v>0</v>
      </c>
      <c r="H25" s="125">
        <f>$G25*B25*100/100</f>
        <v>0</v>
      </c>
      <c r="I25" s="126">
        <f>$G25*C25*100/100</f>
        <v>0</v>
      </c>
      <c r="J25" s="126">
        <f>$G25*D25*100/100</f>
        <v>0</v>
      </c>
      <c r="K25" s="127">
        <f t="shared" si="15"/>
        <v>0</v>
      </c>
      <c r="L25" s="122">
        <f t="shared" ref="L25" si="17">$G25*E25*100/100</f>
        <v>0</v>
      </c>
      <c r="M25" s="128">
        <f>$G25*F25*150/100</f>
        <v>0</v>
      </c>
      <c r="N25" s="47"/>
      <c r="O25" s="48"/>
      <c r="P25" s="460" t="s">
        <v>59</v>
      </c>
      <c r="Q25" s="52">
        <f>colazione!K54</f>
        <v>40764.184000000001</v>
      </c>
      <c r="R25" s="55">
        <f>Q25*0.239006</f>
        <v>9742.8845611039997</v>
      </c>
      <c r="S25" s="48"/>
      <c r="T25" s="583"/>
    </row>
    <row r="26" spans="1:20" s="49" customFormat="1" x14ac:dyDescent="0.2">
      <c r="A26" s="123" t="s">
        <v>11</v>
      </c>
      <c r="B26" s="124">
        <v>20</v>
      </c>
      <c r="C26" s="124">
        <v>0.5</v>
      </c>
      <c r="D26" s="124">
        <v>1.4</v>
      </c>
      <c r="E26" s="124">
        <v>1.7</v>
      </c>
      <c r="F26" s="136">
        <f t="shared" ref="F26:F30" si="18">100-B26-C26-D26-E26</f>
        <v>76.399999999999991</v>
      </c>
      <c r="G26" s="131"/>
      <c r="H26" s="125">
        <f>$G26*B26*150/100</f>
        <v>0</v>
      </c>
      <c r="I26" s="126">
        <f>$G26*C26*150/100</f>
        <v>0</v>
      </c>
      <c r="J26" s="126">
        <f>$G26*D26*150/100</f>
        <v>0</v>
      </c>
      <c r="K26" s="127">
        <f t="shared" ref="K26:K31" si="19">H26*16.7+I26*37.6+J26*16.7</f>
        <v>0</v>
      </c>
      <c r="L26" s="122">
        <f t="shared" ref="L26:L44" si="20">$G26*E26*100/100</f>
        <v>0</v>
      </c>
      <c r="M26" s="128">
        <f>$G26*F26*150/100</f>
        <v>0</v>
      </c>
      <c r="N26" s="47"/>
      <c r="O26" s="48"/>
      <c r="P26" s="460" t="s">
        <v>60</v>
      </c>
      <c r="Q26" s="52">
        <f>pranzo!K177</f>
        <v>21126.135000000002</v>
      </c>
      <c r="R26" s="55">
        <f t="shared" ref="R26:R29" si="21">Q26*0.239006</f>
        <v>5049.2730218100005</v>
      </c>
      <c r="S26" s="48"/>
      <c r="T26" s="583"/>
    </row>
    <row r="27" spans="1:20" s="49" customFormat="1" x14ac:dyDescent="0.2">
      <c r="A27" s="123" t="s">
        <v>125</v>
      </c>
      <c r="B27" s="124">
        <v>7.5</v>
      </c>
      <c r="C27" s="124">
        <v>0.6</v>
      </c>
      <c r="D27" s="124">
        <v>0.7</v>
      </c>
      <c r="E27" s="124">
        <v>1.5</v>
      </c>
      <c r="F27" s="136">
        <f t="shared" si="18"/>
        <v>89.7</v>
      </c>
      <c r="G27" s="131">
        <v>0</v>
      </c>
      <c r="H27" s="125">
        <f>$G27*B27*120/100</f>
        <v>0</v>
      </c>
      <c r="I27" s="126">
        <f>$G27*C27*120/100</f>
        <v>0</v>
      </c>
      <c r="J27" s="126">
        <f>$G27*D27*120/100</f>
        <v>0</v>
      </c>
      <c r="K27" s="127">
        <f t="shared" si="19"/>
        <v>0</v>
      </c>
      <c r="L27" s="122">
        <f t="shared" si="20"/>
        <v>0</v>
      </c>
      <c r="M27" s="128">
        <f>$G27*F27*120/100</f>
        <v>0</v>
      </c>
      <c r="N27" s="47"/>
      <c r="O27" s="48"/>
      <c r="P27" s="460" t="s">
        <v>61</v>
      </c>
      <c r="Q27" s="52">
        <f>merenda!K90</f>
        <v>20970.407999999999</v>
      </c>
      <c r="R27" s="55">
        <f t="shared" si="21"/>
        <v>5012.053334448</v>
      </c>
      <c r="S27" s="48"/>
      <c r="T27" s="583"/>
    </row>
    <row r="28" spans="1:20" s="49" customFormat="1" x14ac:dyDescent="0.2">
      <c r="A28" s="123" t="s">
        <v>130</v>
      </c>
      <c r="B28" s="124">
        <v>9</v>
      </c>
      <c r="C28" s="124">
        <v>0.2</v>
      </c>
      <c r="D28" s="124">
        <v>0.7</v>
      </c>
      <c r="E28" s="124">
        <v>2</v>
      </c>
      <c r="F28" s="136">
        <f t="shared" si="18"/>
        <v>88.1</v>
      </c>
      <c r="G28" s="131"/>
      <c r="H28" s="125">
        <f>$G28*B28*170/100</f>
        <v>0</v>
      </c>
      <c r="I28" s="126">
        <f>$G28*C28*170/100</f>
        <v>0</v>
      </c>
      <c r="J28" s="126">
        <f>$G28*D28*170/100</f>
        <v>0</v>
      </c>
      <c r="K28" s="127">
        <f t="shared" si="19"/>
        <v>0</v>
      </c>
      <c r="L28" s="122">
        <f t="shared" si="20"/>
        <v>0</v>
      </c>
      <c r="M28" s="128">
        <f>$G28*F28*170/100</f>
        <v>0</v>
      </c>
      <c r="N28" s="47"/>
      <c r="O28" s="48"/>
      <c r="P28" s="460" t="s">
        <v>62</v>
      </c>
      <c r="Q28" s="52">
        <f>spuntino!$K$84</f>
        <v>11504.668999999998</v>
      </c>
      <c r="R28" s="55">
        <f t="shared" si="21"/>
        <v>2749.6849190139997</v>
      </c>
      <c r="S28" s="48"/>
      <c r="T28" s="583"/>
    </row>
    <row r="29" spans="1:20" s="49" customFormat="1" x14ac:dyDescent="0.2">
      <c r="A29" s="123" t="s">
        <v>129</v>
      </c>
      <c r="B29" s="124">
        <v>11</v>
      </c>
      <c r="C29" s="124">
        <v>0</v>
      </c>
      <c r="D29" s="124">
        <v>0.5</v>
      </c>
      <c r="E29" s="124">
        <v>1.5</v>
      </c>
      <c r="F29" s="136">
        <f t="shared" si="18"/>
        <v>87</v>
      </c>
      <c r="G29" s="131"/>
      <c r="H29" s="125">
        <f>$G29*B29*150/100</f>
        <v>0</v>
      </c>
      <c r="I29" s="126">
        <f>$G29*C29*150/100</f>
        <v>0</v>
      </c>
      <c r="J29" s="126">
        <f>$G29*D29*150/100</f>
        <v>0</v>
      </c>
      <c r="K29" s="127">
        <f t="shared" si="19"/>
        <v>0</v>
      </c>
      <c r="L29" s="122">
        <f t="shared" si="20"/>
        <v>0</v>
      </c>
      <c r="M29" s="128">
        <f>$G29*F29*150/100</f>
        <v>0</v>
      </c>
      <c r="N29" s="47"/>
      <c r="O29" s="48"/>
      <c r="P29" s="460" t="s">
        <v>63</v>
      </c>
      <c r="Q29" s="52">
        <f>cena!K177</f>
        <v>32347.438599999998</v>
      </c>
      <c r="R29" s="55">
        <f t="shared" si="21"/>
        <v>7731.231910031599</v>
      </c>
      <c r="S29" s="48"/>
      <c r="T29" s="583"/>
    </row>
    <row r="30" spans="1:20" s="49" customFormat="1" x14ac:dyDescent="0.2">
      <c r="A30" s="123" t="s">
        <v>128</v>
      </c>
      <c r="B30" s="128">
        <v>15.8</v>
      </c>
      <c r="C30" s="128">
        <v>0.48</v>
      </c>
      <c r="D30" s="128">
        <v>0.7</v>
      </c>
      <c r="E30" s="128">
        <v>1.8</v>
      </c>
      <c r="F30" s="136">
        <f t="shared" si="18"/>
        <v>81.22</v>
      </c>
      <c r="G30" s="131"/>
      <c r="H30" s="125">
        <f>$G30*B30*180/100</f>
        <v>0</v>
      </c>
      <c r="I30" s="126">
        <f>$G30*C30*180/100</f>
        <v>0</v>
      </c>
      <c r="J30" s="126">
        <f>$G30*D30*180/100</f>
        <v>0</v>
      </c>
      <c r="K30" s="127">
        <f t="shared" si="19"/>
        <v>0</v>
      </c>
      <c r="L30" s="122">
        <f t="shared" si="20"/>
        <v>0</v>
      </c>
      <c r="M30" s="128">
        <f>$G30*F30*180/100</f>
        <v>0</v>
      </c>
      <c r="N30" s="47"/>
      <c r="O30" s="48"/>
      <c r="T30" s="583"/>
    </row>
    <row r="31" spans="1:20" s="49" customFormat="1" ht="12.75" thickBot="1" x14ac:dyDescent="0.25">
      <c r="A31" s="134" t="s">
        <v>127</v>
      </c>
      <c r="B31" s="160">
        <v>12</v>
      </c>
      <c r="C31" s="160">
        <v>0.35</v>
      </c>
      <c r="D31" s="160">
        <v>0.3</v>
      </c>
      <c r="E31" s="160">
        <v>1.5</v>
      </c>
      <c r="F31" s="136">
        <f>100-B31-C31-D31-E31</f>
        <v>85.850000000000009</v>
      </c>
      <c r="G31" s="153"/>
      <c r="H31" s="138">
        <f>$G31*B31*160/100</f>
        <v>0</v>
      </c>
      <c r="I31" s="139">
        <f>$G31*C31*160/100</f>
        <v>0</v>
      </c>
      <c r="J31" s="139">
        <f>$G31*D31*160/100</f>
        <v>0</v>
      </c>
      <c r="K31" s="140">
        <f t="shared" si="19"/>
        <v>0</v>
      </c>
      <c r="L31" s="122">
        <f t="shared" si="20"/>
        <v>0</v>
      </c>
      <c r="M31" s="135">
        <f>$G31*F31*160/100</f>
        <v>0</v>
      </c>
      <c r="N31" s="47"/>
      <c r="O31" s="48"/>
      <c r="T31" s="583"/>
    </row>
    <row r="32" spans="1:20" s="49" customFormat="1" ht="12.75" thickBot="1" x14ac:dyDescent="0.25">
      <c r="A32" s="147" t="s">
        <v>113</v>
      </c>
      <c r="B32" s="148"/>
      <c r="C32" s="148"/>
      <c r="D32" s="148"/>
      <c r="E32" s="148"/>
      <c r="F32" s="148"/>
      <c r="G32" s="149"/>
      <c r="H32" s="150"/>
      <c r="I32" s="150"/>
      <c r="J32" s="150"/>
      <c r="K32" s="151"/>
      <c r="L32" s="151"/>
      <c r="M32" s="152"/>
      <c r="N32" s="47"/>
      <c r="O32" s="48"/>
      <c r="T32" s="583"/>
    </row>
    <row r="33" spans="1:20" s="49" customFormat="1" x14ac:dyDescent="0.2">
      <c r="A33" s="375" t="s">
        <v>114</v>
      </c>
      <c r="B33" s="122">
        <v>69</v>
      </c>
      <c r="C33" s="122">
        <v>0.1</v>
      </c>
      <c r="D33" s="122">
        <v>0.6</v>
      </c>
      <c r="E33" s="122">
        <v>2</v>
      </c>
      <c r="F33" s="136">
        <f t="shared" ref="F33:F37" si="22">100-B33-C33-D33-E33</f>
        <v>28.299999999999997</v>
      </c>
      <c r="G33" s="141"/>
      <c r="H33" s="119">
        <f>$G33*B33*15/100</f>
        <v>0</v>
      </c>
      <c r="I33" s="120">
        <f>$G33*C33*15/100</f>
        <v>0</v>
      </c>
      <c r="J33" s="120">
        <f>$G33*D33*15/100</f>
        <v>0</v>
      </c>
      <c r="K33" s="121">
        <f>H33*16.7+I33*37.6+J33*16.7</f>
        <v>0</v>
      </c>
      <c r="L33" s="122">
        <f t="shared" si="20"/>
        <v>0</v>
      </c>
      <c r="M33" s="122">
        <f>$G33*F33*15/100</f>
        <v>0</v>
      </c>
      <c r="N33" s="47"/>
      <c r="O33" s="48"/>
      <c r="T33" s="583"/>
    </row>
    <row r="34" spans="1:20" s="49" customFormat="1" x14ac:dyDescent="0.2">
      <c r="A34" s="161" t="s">
        <v>131</v>
      </c>
      <c r="B34" s="162">
        <v>56</v>
      </c>
      <c r="C34" s="162">
        <v>31</v>
      </c>
      <c r="D34" s="162">
        <v>6.8</v>
      </c>
      <c r="E34" s="163">
        <v>0</v>
      </c>
      <c r="F34" s="136">
        <f t="shared" si="22"/>
        <v>6.2</v>
      </c>
      <c r="G34" s="132"/>
      <c r="H34" s="166">
        <f>$G34*B34*5/100</f>
        <v>0</v>
      </c>
      <c r="I34" s="167">
        <f>$G34*C34*5/100</f>
        <v>0</v>
      </c>
      <c r="J34" s="167">
        <f>$G34*D34*5/100</f>
        <v>0</v>
      </c>
      <c r="K34" s="168">
        <f>H34*16.7+I34*16.7+I34*35.6</f>
        <v>0</v>
      </c>
      <c r="L34" s="122">
        <f t="shared" si="20"/>
        <v>0</v>
      </c>
      <c r="M34" s="163">
        <v>0</v>
      </c>
      <c r="N34" s="47"/>
      <c r="O34" s="48"/>
      <c r="T34" s="583"/>
    </row>
    <row r="35" spans="1:20" s="49" customFormat="1" x14ac:dyDescent="0.2">
      <c r="A35" s="376" t="s">
        <v>244</v>
      </c>
      <c r="B35" s="128">
        <v>63</v>
      </c>
      <c r="C35" s="128">
        <v>14</v>
      </c>
      <c r="D35" s="128">
        <v>5</v>
      </c>
      <c r="E35" s="128">
        <v>1</v>
      </c>
      <c r="F35" s="136">
        <f t="shared" si="22"/>
        <v>17</v>
      </c>
      <c r="G35" s="131">
        <v>2</v>
      </c>
      <c r="H35" s="125">
        <f>$G35*B35*75/100</f>
        <v>94.5</v>
      </c>
      <c r="I35" s="126">
        <f>$G35*C35*75/100</f>
        <v>21</v>
      </c>
      <c r="J35" s="126">
        <f>$G35*D35*75/100</f>
        <v>7.5</v>
      </c>
      <c r="K35" s="127">
        <f>H35*16.7+I35*37.6+J35*16.7</f>
        <v>2493</v>
      </c>
      <c r="L35" s="122">
        <f t="shared" si="20"/>
        <v>2</v>
      </c>
      <c r="M35" s="128">
        <f>$G35*F35*35/100</f>
        <v>11.9</v>
      </c>
      <c r="N35" s="47"/>
      <c r="O35" s="48"/>
      <c r="T35" s="583"/>
    </row>
    <row r="36" spans="1:20" s="49" customFormat="1" x14ac:dyDescent="0.2">
      <c r="A36" s="376" t="s">
        <v>132</v>
      </c>
      <c r="B36" s="128">
        <v>80</v>
      </c>
      <c r="C36" s="128">
        <v>15</v>
      </c>
      <c r="D36" s="128">
        <v>5</v>
      </c>
      <c r="E36" s="128">
        <v>0</v>
      </c>
      <c r="F36" s="136">
        <f t="shared" si="22"/>
        <v>0</v>
      </c>
      <c r="G36" s="131"/>
      <c r="H36" s="125">
        <f t="shared" ref="H36:J37" si="23">$G36*B36*160/100</f>
        <v>0</v>
      </c>
      <c r="I36" s="126">
        <f t="shared" si="23"/>
        <v>0</v>
      </c>
      <c r="J36" s="126">
        <f t="shared" si="23"/>
        <v>0</v>
      </c>
      <c r="K36" s="127">
        <f>H36*16.7+I36*37.6+J36*16.7</f>
        <v>0</v>
      </c>
      <c r="L36" s="122">
        <f t="shared" si="20"/>
        <v>0</v>
      </c>
      <c r="M36" s="128">
        <f>$G36*F36*160/100</f>
        <v>0</v>
      </c>
      <c r="N36" s="47"/>
      <c r="O36" s="48"/>
      <c r="T36" s="583"/>
    </row>
    <row r="37" spans="1:20" s="49" customFormat="1" x14ac:dyDescent="0.2">
      <c r="A37" s="377" t="s">
        <v>245</v>
      </c>
      <c r="B37" s="135">
        <v>65.5</v>
      </c>
      <c r="C37" s="135">
        <v>20</v>
      </c>
      <c r="D37" s="135">
        <v>4.5999999999999996</v>
      </c>
      <c r="E37" s="135">
        <v>0</v>
      </c>
      <c r="F37" s="136">
        <f t="shared" si="22"/>
        <v>9.9</v>
      </c>
      <c r="G37" s="153">
        <v>2</v>
      </c>
      <c r="H37" s="125">
        <f t="shared" si="23"/>
        <v>209.6</v>
      </c>
      <c r="I37" s="126">
        <f t="shared" si="23"/>
        <v>64</v>
      </c>
      <c r="J37" s="126">
        <f t="shared" si="23"/>
        <v>14.72</v>
      </c>
      <c r="K37" s="127">
        <f>H37*16.7+I37*37.6+J37*16.7</f>
        <v>6152.543999999999</v>
      </c>
      <c r="L37" s="122">
        <f t="shared" si="20"/>
        <v>0</v>
      </c>
      <c r="M37" s="128">
        <f>$G37*F37*160/100</f>
        <v>31.68</v>
      </c>
      <c r="N37" s="47"/>
      <c r="O37" s="48"/>
      <c r="T37" s="583"/>
    </row>
    <row r="38" spans="1:20" s="49" customFormat="1" ht="12.75" thickBot="1" x14ac:dyDescent="0.25">
      <c r="A38" s="377" t="s">
        <v>133</v>
      </c>
      <c r="B38" s="165">
        <v>100</v>
      </c>
      <c r="C38" s="135">
        <v>0</v>
      </c>
      <c r="D38" s="135">
        <v>0</v>
      </c>
      <c r="E38" s="135">
        <v>0</v>
      </c>
      <c r="F38" s="136">
        <f>100-B38-C38-D38-E38</f>
        <v>0</v>
      </c>
      <c r="G38" s="153">
        <v>14</v>
      </c>
      <c r="H38" s="138">
        <f>$G38*B38*10/100</f>
        <v>140</v>
      </c>
      <c r="I38" s="139">
        <f>$G38*C38*10/100</f>
        <v>0</v>
      </c>
      <c r="J38" s="139">
        <f>$G38*D38*10/100</f>
        <v>0</v>
      </c>
      <c r="K38" s="140">
        <f>H38*16.7+I38*37.6+J38*16.7</f>
        <v>2338</v>
      </c>
      <c r="L38" s="122">
        <f t="shared" si="20"/>
        <v>0</v>
      </c>
      <c r="M38" s="135">
        <f>$G38*F38*5/100</f>
        <v>0</v>
      </c>
      <c r="N38" s="47"/>
      <c r="O38" s="48"/>
      <c r="T38" s="583"/>
    </row>
    <row r="39" spans="1:20" s="49" customFormat="1" ht="12.75" thickBot="1" x14ac:dyDescent="0.25">
      <c r="A39" s="147" t="s">
        <v>115</v>
      </c>
      <c r="B39" s="155"/>
      <c r="C39" s="155"/>
      <c r="D39" s="155"/>
      <c r="E39" s="155"/>
      <c r="F39" s="155"/>
      <c r="G39" s="149"/>
      <c r="H39" s="150"/>
      <c r="I39" s="150"/>
      <c r="J39" s="150"/>
      <c r="K39" s="148"/>
      <c r="L39" s="148"/>
      <c r="M39" s="152"/>
      <c r="N39" s="47"/>
      <c r="O39" s="48"/>
      <c r="T39" s="583"/>
    </row>
    <row r="40" spans="1:20" s="49" customFormat="1" x14ac:dyDescent="0.2">
      <c r="A40" s="169" t="s">
        <v>363</v>
      </c>
      <c r="B40" s="170">
        <v>0.5</v>
      </c>
      <c r="C40" s="170">
        <v>84</v>
      </c>
      <c r="D40" s="170">
        <v>0.5</v>
      </c>
      <c r="E40" s="170">
        <v>0</v>
      </c>
      <c r="F40" s="174">
        <f t="shared" ref="F40:F41" si="24">100-B40-C40-D40-E40</f>
        <v>15</v>
      </c>
      <c r="G40" s="141"/>
      <c r="H40" s="119">
        <f>$G40*B40*10/100</f>
        <v>0</v>
      </c>
      <c r="I40" s="120">
        <f>$G40*C40*10/100</f>
        <v>0</v>
      </c>
      <c r="J40" s="120">
        <f>$G40*D40*10/100</f>
        <v>0</v>
      </c>
      <c r="K40" s="121">
        <f>H40*16.7+I40*37.6+J40*16.7</f>
        <v>0</v>
      </c>
      <c r="L40" s="122">
        <f t="shared" si="20"/>
        <v>0</v>
      </c>
      <c r="M40" s="122">
        <f>$G40*F40*10/100</f>
        <v>0</v>
      </c>
      <c r="N40" s="47"/>
      <c r="O40" s="48"/>
      <c r="T40" s="583"/>
    </row>
    <row r="41" spans="1:20" s="49" customFormat="1" x14ac:dyDescent="0.2">
      <c r="A41" s="172" t="s">
        <v>134</v>
      </c>
      <c r="B41" s="173">
        <v>4.8</v>
      </c>
      <c r="C41" s="173">
        <v>1.55</v>
      </c>
      <c r="D41" s="173">
        <v>3.15</v>
      </c>
      <c r="E41" s="173">
        <v>0</v>
      </c>
      <c r="F41" s="174">
        <f t="shared" si="24"/>
        <v>90.5</v>
      </c>
      <c r="G41" s="131"/>
      <c r="H41" s="125">
        <f t="shared" ref="H41:J43" si="25">$G41*B41*100/100</f>
        <v>0</v>
      </c>
      <c r="I41" s="126">
        <f t="shared" si="25"/>
        <v>0</v>
      </c>
      <c r="J41" s="126">
        <f t="shared" si="25"/>
        <v>0</v>
      </c>
      <c r="K41" s="127">
        <f>H41*16.7+I41*37.6+J41*16.7</f>
        <v>0</v>
      </c>
      <c r="L41" s="122">
        <f t="shared" si="20"/>
        <v>0</v>
      </c>
      <c r="M41" s="128">
        <f>$G41*F41*200/100</f>
        <v>0</v>
      </c>
      <c r="N41" s="47"/>
      <c r="O41" s="48"/>
      <c r="T41" s="583"/>
    </row>
    <row r="42" spans="1:20" s="49" customFormat="1" x14ac:dyDescent="0.2">
      <c r="A42" s="172" t="s">
        <v>135</v>
      </c>
      <c r="B42" s="173">
        <v>5</v>
      </c>
      <c r="C42" s="173">
        <v>0.1</v>
      </c>
      <c r="D42" s="173">
        <v>3.5</v>
      </c>
      <c r="E42" s="173">
        <v>0</v>
      </c>
      <c r="F42" s="174">
        <f>100-B42-C42-D42-E42</f>
        <v>91.4</v>
      </c>
      <c r="G42" s="131"/>
      <c r="H42" s="125">
        <f t="shared" si="25"/>
        <v>0</v>
      </c>
      <c r="I42" s="126">
        <f t="shared" si="25"/>
        <v>0</v>
      </c>
      <c r="J42" s="126">
        <f t="shared" si="25"/>
        <v>0</v>
      </c>
      <c r="K42" s="127">
        <f>H42*16.7+I42*37.6+J42*16.7</f>
        <v>0</v>
      </c>
      <c r="L42" s="122">
        <f t="shared" si="20"/>
        <v>0</v>
      </c>
      <c r="M42" s="128">
        <f>$G42*F42*200/100</f>
        <v>0</v>
      </c>
      <c r="N42" s="47"/>
      <c r="O42" s="48"/>
      <c r="T42" s="583"/>
    </row>
    <row r="43" spans="1:20" s="49" customFormat="1" x14ac:dyDescent="0.2">
      <c r="A43" s="172" t="s">
        <v>349</v>
      </c>
      <c r="B43" s="173">
        <v>4.5999999999999996</v>
      </c>
      <c r="C43" s="173">
        <v>3.9</v>
      </c>
      <c r="D43" s="163">
        <v>3.5</v>
      </c>
      <c r="E43" s="173">
        <v>0</v>
      </c>
      <c r="F43" s="174">
        <f t="shared" ref="F43:F44" si="26">100-B43-C43-D43-E43</f>
        <v>88</v>
      </c>
      <c r="G43" s="131">
        <v>7</v>
      </c>
      <c r="H43" s="125">
        <f t="shared" si="25"/>
        <v>32.199999999999996</v>
      </c>
      <c r="I43" s="126">
        <f t="shared" si="25"/>
        <v>27.3</v>
      </c>
      <c r="J43" s="126">
        <f t="shared" si="25"/>
        <v>24.5</v>
      </c>
      <c r="K43" s="127">
        <f>H43*16.7+I43*37.6+J43*16.7</f>
        <v>1973.37</v>
      </c>
      <c r="L43" s="122">
        <f t="shared" si="20"/>
        <v>0</v>
      </c>
      <c r="M43" s="128">
        <f>$G43*F43*200/100</f>
        <v>1232</v>
      </c>
      <c r="N43" s="47"/>
      <c r="O43" s="48"/>
      <c r="P43" s="48"/>
      <c r="Q43" s="48"/>
      <c r="R43" s="48"/>
      <c r="S43" s="48"/>
      <c r="T43" s="583"/>
    </row>
    <row r="44" spans="1:20" s="49" customFormat="1" ht="12.75" thickBot="1" x14ac:dyDescent="0.25">
      <c r="A44" s="175" t="s">
        <v>136</v>
      </c>
      <c r="B44" s="176">
        <v>2</v>
      </c>
      <c r="C44" s="176">
        <v>0.5</v>
      </c>
      <c r="D44" s="176">
        <v>19.5</v>
      </c>
      <c r="E44" s="176">
        <v>0</v>
      </c>
      <c r="F44" s="174">
        <f t="shared" si="26"/>
        <v>78</v>
      </c>
      <c r="G44" s="153"/>
      <c r="H44" s="138">
        <f>$G44*B44*125/100</f>
        <v>0</v>
      </c>
      <c r="I44" s="139">
        <f>$G44*C44*125/100</f>
        <v>0</v>
      </c>
      <c r="J44" s="139">
        <f>$G44*D44*125/100</f>
        <v>0</v>
      </c>
      <c r="K44" s="140">
        <f>H44*16.7+I44*37.6+J44*16.7</f>
        <v>0</v>
      </c>
      <c r="L44" s="122">
        <f t="shared" si="20"/>
        <v>0</v>
      </c>
      <c r="M44" s="135">
        <f>$G44*F44*125/100</f>
        <v>0</v>
      </c>
      <c r="N44" s="47"/>
      <c r="O44" s="583"/>
      <c r="P44" s="583"/>
      <c r="Q44" s="583"/>
      <c r="R44" s="583"/>
      <c r="S44" s="583"/>
      <c r="T44" s="583"/>
    </row>
    <row r="45" spans="1:20" s="49" customFormat="1" ht="12.75" thickBot="1" x14ac:dyDescent="0.25">
      <c r="A45" s="154" t="s">
        <v>116</v>
      </c>
      <c r="B45" s="155"/>
      <c r="C45" s="155"/>
      <c r="D45" s="155"/>
      <c r="E45" s="155"/>
      <c r="F45" s="155"/>
      <c r="G45" s="149"/>
      <c r="H45" s="150"/>
      <c r="I45" s="150"/>
      <c r="J45" s="150"/>
      <c r="K45" s="151"/>
      <c r="L45" s="151"/>
      <c r="M45" s="152"/>
      <c r="N45" s="47"/>
      <c r="O45" s="43"/>
      <c r="P45" s="43"/>
      <c r="Q45" s="43"/>
      <c r="R45" s="43"/>
      <c r="S45" s="43"/>
    </row>
    <row r="46" spans="1:20" s="49" customFormat="1" x14ac:dyDescent="0.2">
      <c r="A46" s="156" t="s">
        <v>137</v>
      </c>
      <c r="B46" s="118">
        <v>5</v>
      </c>
      <c r="C46" s="118">
        <v>35</v>
      </c>
      <c r="D46" s="118">
        <v>20</v>
      </c>
      <c r="E46" s="118">
        <v>0</v>
      </c>
      <c r="F46" s="157">
        <f>100-B46-C46-D46-E46</f>
        <v>40</v>
      </c>
      <c r="G46" s="141"/>
      <c r="H46" s="119">
        <f>$G46*B46*150/100</f>
        <v>0</v>
      </c>
      <c r="I46" s="120">
        <f>$G46*C46*150/100</f>
        <v>0</v>
      </c>
      <c r="J46" s="120">
        <f>$G46*D46*150/100</f>
        <v>0</v>
      </c>
      <c r="K46" s="121">
        <f>H46*16.7+I46*37.6+J46*16.7</f>
        <v>0</v>
      </c>
      <c r="L46" s="122">
        <f>$G46*E46*100/100</f>
        <v>0</v>
      </c>
      <c r="M46" s="122">
        <f>$G46*F46*150/100</f>
        <v>0</v>
      </c>
      <c r="N46" s="47"/>
      <c r="O46" s="43"/>
      <c r="P46" s="43"/>
      <c r="Q46" s="43"/>
      <c r="R46" s="43"/>
      <c r="S46" s="43"/>
    </row>
    <row r="47" spans="1:20" s="49" customFormat="1" x14ac:dyDescent="0.2">
      <c r="A47" s="158" t="s">
        <v>248</v>
      </c>
      <c r="B47" s="124">
        <v>3</v>
      </c>
      <c r="C47" s="124">
        <v>22</v>
      </c>
      <c r="D47" s="124">
        <v>20</v>
      </c>
      <c r="E47" s="124">
        <v>0</v>
      </c>
      <c r="F47" s="157">
        <f t="shared" ref="F47:F49" si="27">100-B47-C47-D47-E47</f>
        <v>55</v>
      </c>
      <c r="G47" s="131"/>
      <c r="H47" s="125">
        <f>$G47*B47*120/100</f>
        <v>0</v>
      </c>
      <c r="I47" s="126">
        <f>$G47*C47*120/100</f>
        <v>0</v>
      </c>
      <c r="J47" s="126">
        <f>$G47*D47*120/100</f>
        <v>0</v>
      </c>
      <c r="K47" s="127">
        <f>H47*16.7+I47*37.6+J47*16.7</f>
        <v>0</v>
      </c>
      <c r="L47" s="122">
        <f t="shared" ref="L47:L49" si="28">$G47*E47*100/100</f>
        <v>0</v>
      </c>
      <c r="M47" s="128">
        <f>$G47*F47*120/100</f>
        <v>0</v>
      </c>
      <c r="N47" s="47"/>
      <c r="O47" s="43"/>
      <c r="P47" s="43"/>
      <c r="Q47" s="43"/>
      <c r="R47" s="43"/>
      <c r="S47" s="43"/>
    </row>
    <row r="48" spans="1:20" s="49" customFormat="1" x14ac:dyDescent="0.2">
      <c r="A48" s="158" t="s">
        <v>247</v>
      </c>
      <c r="B48" s="124">
        <v>0.75</v>
      </c>
      <c r="C48" s="124">
        <v>15</v>
      </c>
      <c r="D48" s="124">
        <v>12.8</v>
      </c>
      <c r="E48" s="124">
        <v>0</v>
      </c>
      <c r="F48" s="157">
        <f t="shared" si="27"/>
        <v>71.45</v>
      </c>
      <c r="G48" s="131"/>
      <c r="H48" s="125">
        <f>$G48*B48*100/100</f>
        <v>0</v>
      </c>
      <c r="I48" s="126">
        <f>$G48*C48*100/100</f>
        <v>0</v>
      </c>
      <c r="J48" s="126">
        <f>$G48*D48*100/100</f>
        <v>0</v>
      </c>
      <c r="K48" s="127">
        <f>H48*16.7+I48*37.6+J48*16.7</f>
        <v>0</v>
      </c>
      <c r="L48" s="122">
        <f t="shared" si="28"/>
        <v>0</v>
      </c>
      <c r="M48" s="128">
        <f>$G48*F48*100/100</f>
        <v>0</v>
      </c>
      <c r="N48" s="47"/>
      <c r="O48" s="43"/>
      <c r="P48" s="43"/>
      <c r="Q48" s="43"/>
      <c r="R48" s="43"/>
      <c r="S48" s="43"/>
    </row>
    <row r="49" spans="1:19" s="49" customFormat="1" ht="12.75" thickBot="1" x14ac:dyDescent="0.25">
      <c r="A49" s="158" t="s">
        <v>246</v>
      </c>
      <c r="B49" s="124">
        <v>0.75</v>
      </c>
      <c r="C49" s="124">
        <v>11.5</v>
      </c>
      <c r="D49" s="124">
        <v>12.8</v>
      </c>
      <c r="E49" s="124">
        <v>0</v>
      </c>
      <c r="F49" s="157">
        <f t="shared" si="27"/>
        <v>74.95</v>
      </c>
      <c r="G49" s="133"/>
      <c r="H49" s="125">
        <f>$G49*B49*80/100</f>
        <v>0</v>
      </c>
      <c r="I49" s="126">
        <f>$G49*C49*80/100</f>
        <v>0</v>
      </c>
      <c r="J49" s="126">
        <f>$G49*D49*80/100</f>
        <v>0</v>
      </c>
      <c r="K49" s="127">
        <f>H49*16.7+I49*37.6+J49*16.7</f>
        <v>0</v>
      </c>
      <c r="L49" s="122">
        <f t="shared" si="28"/>
        <v>0</v>
      </c>
      <c r="M49" s="128">
        <f>$G49*F49*80/100</f>
        <v>0</v>
      </c>
      <c r="N49" s="47"/>
      <c r="O49" s="43"/>
      <c r="P49" s="43"/>
      <c r="Q49" s="43"/>
      <c r="R49" s="43"/>
      <c r="S49" s="43"/>
    </row>
    <row r="50" spans="1:19" s="49" customFormat="1" ht="12.75" thickBot="1" x14ac:dyDescent="0.25">
      <c r="A50" s="380" t="s">
        <v>313</v>
      </c>
      <c r="B50" s="178"/>
      <c r="C50" s="178"/>
      <c r="D50" s="178"/>
      <c r="E50" s="178"/>
      <c r="F50" s="178"/>
      <c r="G50" s="179"/>
      <c r="H50" s="180"/>
      <c r="I50" s="180"/>
      <c r="J50" s="180"/>
      <c r="K50" s="178"/>
      <c r="L50" s="178"/>
      <c r="M50" s="116"/>
      <c r="N50" s="47"/>
      <c r="O50" s="43"/>
      <c r="P50" s="43"/>
      <c r="Q50" s="43"/>
      <c r="R50" s="43"/>
      <c r="S50" s="43"/>
    </row>
    <row r="51" spans="1:19" s="49" customFormat="1" ht="13.5" thickBot="1" x14ac:dyDescent="0.25">
      <c r="A51" s="380" t="s">
        <v>311</v>
      </c>
      <c r="B51" s="354" t="s">
        <v>8</v>
      </c>
      <c r="C51" s="354" t="s">
        <v>9</v>
      </c>
      <c r="D51" s="354" t="s">
        <v>10</v>
      </c>
      <c r="E51" s="354" t="s">
        <v>144</v>
      </c>
      <c r="F51" s="354" t="s">
        <v>117</v>
      </c>
      <c r="G51" s="355" t="s">
        <v>153</v>
      </c>
      <c r="H51" s="180"/>
      <c r="I51" s="181" t="s">
        <v>103</v>
      </c>
      <c r="J51" s="180"/>
      <c r="K51" s="178"/>
      <c r="L51" s="178"/>
      <c r="M51" s="116"/>
      <c r="N51" s="57"/>
      <c r="O51" s="43"/>
      <c r="P51" s="43"/>
      <c r="Q51" s="43"/>
      <c r="R51" s="43"/>
      <c r="S51" s="43"/>
    </row>
    <row r="52" spans="1:19" s="49" customFormat="1" ht="12.75" thickBot="1" x14ac:dyDescent="0.25">
      <c r="A52" s="184"/>
      <c r="B52" s="606"/>
      <c r="C52" s="185"/>
      <c r="D52" s="607"/>
      <c r="E52" s="186"/>
      <c r="F52" s="186"/>
      <c r="G52" s="187"/>
      <c r="H52" s="125">
        <f>$G52*B52*$F$53/100</f>
        <v>0</v>
      </c>
      <c r="I52" s="126">
        <f>$G52*C52*$F$53/100</f>
        <v>0</v>
      </c>
      <c r="J52" s="126">
        <f>$G52*D52*$F$53/100</f>
        <v>0</v>
      </c>
      <c r="K52" s="127">
        <f>H52*16.7+I52*37.6+J52*16.7</f>
        <v>0</v>
      </c>
      <c r="L52" s="128">
        <f>$G52*E52*E53/100</f>
        <v>0</v>
      </c>
      <c r="M52" s="128">
        <f>$G52*F52*F53/100</f>
        <v>0</v>
      </c>
      <c r="N52" s="57"/>
      <c r="O52" s="43"/>
      <c r="P52" s="43"/>
      <c r="Q52" s="43"/>
      <c r="R52" s="43"/>
      <c r="S52" s="43"/>
    </row>
    <row r="53" spans="1:19" s="49" customFormat="1" ht="12.75" thickBot="1" x14ac:dyDescent="0.25">
      <c r="A53" s="638" t="s">
        <v>104</v>
      </c>
      <c r="B53" s="638"/>
      <c r="C53" s="638"/>
      <c r="D53" s="638"/>
      <c r="E53" s="639"/>
      <c r="F53" s="350"/>
      <c r="G53" s="179" t="s">
        <v>12</v>
      </c>
      <c r="H53" s="351" t="s">
        <v>8</v>
      </c>
      <c r="I53" s="351" t="s">
        <v>9</v>
      </c>
      <c r="J53" s="351" t="s">
        <v>10</v>
      </c>
      <c r="K53" s="352" t="s">
        <v>5</v>
      </c>
      <c r="L53" s="352" t="s">
        <v>144</v>
      </c>
      <c r="M53" s="353" t="s">
        <v>117</v>
      </c>
      <c r="N53" s="57"/>
      <c r="O53" s="43"/>
      <c r="P53" s="43"/>
      <c r="Q53" s="43"/>
      <c r="R53" s="43"/>
      <c r="S53" s="43"/>
    </row>
    <row r="54" spans="1:19" ht="12.75" x14ac:dyDescent="0.2">
      <c r="A54" s="182" t="s">
        <v>105</v>
      </c>
      <c r="B54" s="178"/>
      <c r="C54" s="178"/>
      <c r="D54" s="178"/>
      <c r="E54" s="178"/>
      <c r="F54" s="178"/>
      <c r="G54" s="179"/>
      <c r="H54" s="188">
        <f t="shared" ref="H54:M54" si="29">SUM(H4:H52)</f>
        <v>1903</v>
      </c>
      <c r="I54" s="189">
        <f t="shared" si="29"/>
        <v>199.8</v>
      </c>
      <c r="J54" s="189">
        <f t="shared" si="29"/>
        <v>88.12</v>
      </c>
      <c r="K54" s="190">
        <f t="shared" si="29"/>
        <v>40764.184000000001</v>
      </c>
      <c r="L54" s="190">
        <f t="shared" si="29"/>
        <v>39</v>
      </c>
      <c r="M54" s="191">
        <f t="shared" si="29"/>
        <v>2520.58</v>
      </c>
      <c r="N54" s="57"/>
    </row>
    <row r="55" spans="1:19" x14ac:dyDescent="0.2">
      <c r="A55" s="177"/>
      <c r="B55" s="178"/>
      <c r="C55" s="178"/>
      <c r="D55" s="178"/>
      <c r="E55" s="178"/>
      <c r="F55" s="178"/>
      <c r="G55" s="179"/>
      <c r="H55" s="180"/>
      <c r="I55" s="180"/>
      <c r="J55" s="180"/>
      <c r="K55" s="178"/>
      <c r="L55" s="178"/>
      <c r="M55" s="183"/>
      <c r="N55" s="57"/>
    </row>
    <row r="56" spans="1:19" x14ac:dyDescent="0.2">
      <c r="A56" s="177"/>
      <c r="B56" s="178"/>
      <c r="C56" s="178"/>
      <c r="D56" s="178"/>
      <c r="E56" s="178"/>
      <c r="F56" s="178"/>
      <c r="G56" s="179"/>
      <c r="H56" s="180"/>
      <c r="I56" s="180"/>
      <c r="J56" s="180"/>
      <c r="K56" s="180"/>
      <c r="L56" s="180"/>
      <c r="M56" s="180"/>
    </row>
    <row r="120" spans="15:19" x14ac:dyDescent="0.2">
      <c r="O120" s="58"/>
      <c r="P120" s="58"/>
      <c r="Q120" s="58"/>
      <c r="R120" s="58"/>
      <c r="S120" s="58"/>
    </row>
    <row r="149" spans="15:19" x14ac:dyDescent="0.2">
      <c r="O149" s="49"/>
      <c r="P149" s="49"/>
      <c r="Q149" s="49"/>
      <c r="R149" s="49"/>
      <c r="S149" s="49"/>
    </row>
    <row r="150" spans="15:19" x14ac:dyDescent="0.2">
      <c r="O150" s="49"/>
      <c r="P150" s="49"/>
      <c r="Q150" s="49"/>
      <c r="R150" s="49"/>
      <c r="S150" s="49"/>
    </row>
  </sheetData>
  <sheetProtection password="F2E4" sheet="1" objects="1" scenarios="1" selectLockedCells="1"/>
  <mergeCells count="7">
    <mergeCell ref="P20:S22"/>
    <mergeCell ref="A53:E53"/>
    <mergeCell ref="A1:A2"/>
    <mergeCell ref="B1:E1"/>
    <mergeCell ref="H1:J1"/>
    <mergeCell ref="P2:S3"/>
    <mergeCell ref="P6:S17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77"/>
  <sheetViews>
    <sheetView topLeftCell="A121" workbookViewId="0">
      <selection activeCell="G159" sqref="G159"/>
    </sheetView>
  </sheetViews>
  <sheetFormatPr defaultColWidth="11" defaultRowHeight="12.75" x14ac:dyDescent="0.2"/>
  <cols>
    <col min="1" max="1" width="26.7109375" style="59" customWidth="1"/>
    <col min="2" max="4" width="4.7109375" style="60" customWidth="1"/>
    <col min="5" max="5" width="5.140625" style="61" customWidth="1"/>
    <col min="6" max="6" width="6.28515625" style="60" customWidth="1"/>
    <col min="7" max="7" width="9.42578125" style="62" customWidth="1"/>
    <col min="8" max="8" width="6.140625" style="60" customWidth="1"/>
    <col min="9" max="10" width="5.7109375" style="60" customWidth="1"/>
    <col min="11" max="12" width="7.7109375" style="60" customWidth="1"/>
    <col min="13" max="13" width="8" style="63" customWidth="1"/>
    <col min="14" max="14" width="0.5703125" style="64" customWidth="1"/>
    <col min="15" max="15" width="3.7109375" style="43" customWidth="1"/>
    <col min="16" max="16" width="19.85546875" style="43" customWidth="1"/>
    <col min="17" max="18" width="11.42578125" style="43" customWidth="1"/>
    <col min="19" max="19" width="7.7109375" style="43" customWidth="1"/>
    <col min="20" max="20" width="4" style="43" customWidth="1"/>
    <col min="21" max="21" width="24.5703125" style="1" customWidth="1"/>
    <col min="22" max="16384" width="11" style="1"/>
  </cols>
  <sheetData>
    <row r="1" spans="1:22" ht="15.75" customHeight="1" thickBot="1" x14ac:dyDescent="0.35">
      <c r="A1" s="650" t="s">
        <v>138</v>
      </c>
      <c r="B1" s="652" t="s">
        <v>141</v>
      </c>
      <c r="C1" s="652"/>
      <c r="D1" s="652"/>
      <c r="E1" s="652"/>
      <c r="F1" s="356"/>
      <c r="G1" s="357" t="s">
        <v>140</v>
      </c>
      <c r="H1" s="653" t="s">
        <v>142</v>
      </c>
      <c r="I1" s="653"/>
      <c r="J1" s="653"/>
      <c r="K1" s="358" t="s">
        <v>143</v>
      </c>
      <c r="L1" s="584" t="s">
        <v>144</v>
      </c>
      <c r="M1" s="359" t="s">
        <v>117</v>
      </c>
      <c r="O1" s="48"/>
      <c r="P1" s="488" t="s">
        <v>373</v>
      </c>
      <c r="Q1" s="48"/>
      <c r="R1" s="48"/>
      <c r="S1" s="48"/>
      <c r="T1" s="48"/>
    </row>
    <row r="2" spans="1:22" ht="12.75" customHeight="1" thickBot="1" x14ac:dyDescent="0.25">
      <c r="A2" s="651"/>
      <c r="B2" s="360" t="s">
        <v>8</v>
      </c>
      <c r="C2" s="361" t="s">
        <v>9</v>
      </c>
      <c r="D2" s="361" t="s">
        <v>10</v>
      </c>
      <c r="E2" s="362" t="s">
        <v>144</v>
      </c>
      <c r="F2" s="363" t="s">
        <v>145</v>
      </c>
      <c r="G2" s="364" t="s">
        <v>139</v>
      </c>
      <c r="H2" s="365" t="s">
        <v>8</v>
      </c>
      <c r="I2" s="366" t="s">
        <v>9</v>
      </c>
      <c r="J2" s="367" t="s">
        <v>10</v>
      </c>
      <c r="K2" s="368" t="s">
        <v>5</v>
      </c>
      <c r="L2" s="585"/>
      <c r="M2" s="369"/>
      <c r="O2" s="48"/>
      <c r="P2" s="654" t="s">
        <v>71</v>
      </c>
      <c r="Q2" s="654"/>
      <c r="R2" s="654"/>
      <c r="S2" s="654"/>
      <c r="T2" s="48"/>
      <c r="U2" s="463" t="s">
        <v>348</v>
      </c>
      <c r="V2" s="2">
        <f>SUM(K22:K27)+SUM(K32:K44)+(K92+K93+K94+K99+K162+K164+K165+K166+K167+K168+K169+K170+K171)/2</f>
        <v>8804.3149999999987</v>
      </c>
    </row>
    <row r="3" spans="1:22" ht="18" customHeight="1" thickBot="1" x14ac:dyDescent="0.25">
      <c r="A3" s="655" t="s">
        <v>160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586"/>
      <c r="M3" s="274"/>
      <c r="O3" s="48"/>
      <c r="P3" s="654"/>
      <c r="Q3" s="654"/>
      <c r="R3" s="654"/>
      <c r="S3" s="654"/>
      <c r="T3" s="48"/>
      <c r="U3" s="50" t="s">
        <v>347</v>
      </c>
      <c r="V3" s="2">
        <f>SUM(K29,K70:K73)</f>
        <v>0</v>
      </c>
    </row>
    <row r="4" spans="1:22" x14ac:dyDescent="0.2">
      <c r="A4" s="197" t="s">
        <v>161</v>
      </c>
      <c r="B4" s="198">
        <v>1.5</v>
      </c>
      <c r="C4" s="198">
        <v>1.8</v>
      </c>
      <c r="D4" s="198">
        <v>1</v>
      </c>
      <c r="E4" s="199">
        <v>0</v>
      </c>
      <c r="F4" s="245">
        <f>100-B4-C4-D4</f>
        <v>95.7</v>
      </c>
      <c r="G4" s="273"/>
      <c r="H4" s="271">
        <f>$G4*B4*100/100</f>
        <v>0</v>
      </c>
      <c r="I4" s="170">
        <f>$G4*C4*100/100</f>
        <v>0</v>
      </c>
      <c r="J4" s="170">
        <f>$G4*D4*100/100</f>
        <v>0</v>
      </c>
      <c r="K4" s="200">
        <f t="shared" ref="K4:K12" si="0">H4*16.7+I4*37.6+J4*16.7</f>
        <v>0</v>
      </c>
      <c r="L4" s="122">
        <f>$G4*E4*100/100</f>
        <v>0</v>
      </c>
      <c r="M4" s="170">
        <f>$G4*F4*100/100</f>
        <v>0</v>
      </c>
      <c r="O4" s="48"/>
      <c r="P4" s="48" t="s">
        <v>72</v>
      </c>
      <c r="Q4" s="52">
        <f>K177</f>
        <v>21126.135000000002</v>
      </c>
      <c r="R4" s="48" t="s">
        <v>5</v>
      </c>
      <c r="S4" s="48"/>
      <c r="T4" s="48"/>
      <c r="U4" s="50" t="s">
        <v>38</v>
      </c>
      <c r="V4" s="2">
        <f>SUM(K9:K10)+SUM(K46:K69)+SUM(K74:K90)</f>
        <v>1698.8420000000001</v>
      </c>
    </row>
    <row r="5" spans="1:22" x14ac:dyDescent="0.2">
      <c r="A5" s="201" t="s">
        <v>162</v>
      </c>
      <c r="B5" s="163">
        <v>0</v>
      </c>
      <c r="C5" s="163">
        <v>0.2</v>
      </c>
      <c r="D5" s="163">
        <v>0</v>
      </c>
      <c r="E5" s="163">
        <v>0</v>
      </c>
      <c r="F5" s="164">
        <f>100-B5-C5-D5</f>
        <v>99.8</v>
      </c>
      <c r="G5" s="130"/>
      <c r="H5" s="269">
        <f t="shared" ref="H5:J8" si="1">$G5*B5*150/100</f>
        <v>0</v>
      </c>
      <c r="I5" s="173">
        <f t="shared" si="1"/>
        <v>0</v>
      </c>
      <c r="J5" s="173">
        <f t="shared" si="1"/>
        <v>0</v>
      </c>
      <c r="K5" s="168">
        <f t="shared" si="0"/>
        <v>0</v>
      </c>
      <c r="L5" s="122">
        <f t="shared" ref="L5:L10" si="2">$G5*E5*100/100</f>
        <v>0</v>
      </c>
      <c r="M5" s="173">
        <f>$G5*F5*100/100</f>
        <v>0</v>
      </c>
      <c r="O5" s="48"/>
      <c r="P5" s="48" t="s">
        <v>56</v>
      </c>
      <c r="Q5" s="48"/>
      <c r="R5" s="48"/>
      <c r="S5" s="48"/>
      <c r="T5" s="48"/>
      <c r="U5" s="50" t="s">
        <v>68</v>
      </c>
      <c r="V5" s="2">
        <f>SUM(K123:K152)+(K162+K167+K168+K169+K171)/1.8</f>
        <v>3313.6900000000005</v>
      </c>
    </row>
    <row r="6" spans="1:22" s="49" customFormat="1" x14ac:dyDescent="0.2">
      <c r="A6" s="201" t="s">
        <v>108</v>
      </c>
      <c r="B6" s="163">
        <v>11</v>
      </c>
      <c r="C6" s="163">
        <v>0</v>
      </c>
      <c r="D6" s="163">
        <v>0</v>
      </c>
      <c r="E6" s="163">
        <v>0</v>
      </c>
      <c r="F6" s="164">
        <f>100-B6-C6-D6</f>
        <v>89</v>
      </c>
      <c r="G6" s="130"/>
      <c r="H6" s="269">
        <f t="shared" si="1"/>
        <v>0</v>
      </c>
      <c r="I6" s="173">
        <f t="shared" si="1"/>
        <v>0</v>
      </c>
      <c r="J6" s="173">
        <f t="shared" si="1"/>
        <v>0</v>
      </c>
      <c r="K6" s="168">
        <f t="shared" si="0"/>
        <v>0</v>
      </c>
      <c r="L6" s="122">
        <f t="shared" si="2"/>
        <v>0</v>
      </c>
      <c r="M6" s="173">
        <f>$G6*F6*330/100</f>
        <v>0</v>
      </c>
      <c r="N6" s="57"/>
      <c r="O6" s="48"/>
      <c r="P6" s="48"/>
      <c r="Q6" s="48"/>
      <c r="R6" s="48"/>
      <c r="S6" s="48"/>
      <c r="T6" s="48"/>
      <c r="U6" s="50" t="s">
        <v>39</v>
      </c>
      <c r="V6" s="2">
        <f>K3+SUM(K106:K121)+K97+(K163+K169)/2</f>
        <v>3241.6880000000001</v>
      </c>
    </row>
    <row r="7" spans="1:22" x14ac:dyDescent="0.2">
      <c r="A7" s="201" t="s">
        <v>163</v>
      </c>
      <c r="B7" s="202">
        <v>0</v>
      </c>
      <c r="C7" s="202">
        <v>0</v>
      </c>
      <c r="D7" s="202">
        <v>0</v>
      </c>
      <c r="E7" s="203">
        <v>0</v>
      </c>
      <c r="F7" s="246">
        <v>100</v>
      </c>
      <c r="G7" s="250"/>
      <c r="H7" s="269">
        <f t="shared" si="1"/>
        <v>0</v>
      </c>
      <c r="I7" s="173">
        <f t="shared" si="1"/>
        <v>0</v>
      </c>
      <c r="J7" s="173">
        <f t="shared" si="1"/>
        <v>0</v>
      </c>
      <c r="K7" s="168">
        <f t="shared" si="0"/>
        <v>0</v>
      </c>
      <c r="L7" s="122">
        <f t="shared" si="2"/>
        <v>0</v>
      </c>
      <c r="M7" s="173">
        <f>$G7*F7*150/100</f>
        <v>0</v>
      </c>
      <c r="O7" s="48"/>
      <c r="P7" s="645"/>
      <c r="Q7" s="645"/>
      <c r="R7" s="645"/>
      <c r="S7" s="645"/>
      <c r="T7" s="48"/>
      <c r="U7" s="50" t="s">
        <v>40</v>
      </c>
      <c r="V7" s="2">
        <f>SUM(K155:K158)+K106+(K92+K93+K94+K95+K96+K97+K98+K99+K101++K102+K103+K159+K160+K161+K166+K171+K166+K168+K171)/2</f>
        <v>3778.7000000000003</v>
      </c>
    </row>
    <row r="8" spans="1:22" x14ac:dyDescent="0.2">
      <c r="A8" s="201" t="s">
        <v>164</v>
      </c>
      <c r="B8" s="202">
        <v>0</v>
      </c>
      <c r="C8" s="202">
        <v>0</v>
      </c>
      <c r="D8" s="202">
        <v>0</v>
      </c>
      <c r="E8" s="203">
        <v>0</v>
      </c>
      <c r="F8" s="246">
        <v>100</v>
      </c>
      <c r="G8" s="250">
        <v>15</v>
      </c>
      <c r="H8" s="269">
        <f t="shared" si="1"/>
        <v>0</v>
      </c>
      <c r="I8" s="173">
        <f t="shared" si="1"/>
        <v>0</v>
      </c>
      <c r="J8" s="173">
        <f t="shared" si="1"/>
        <v>0</v>
      </c>
      <c r="K8" s="168">
        <f t="shared" si="0"/>
        <v>0</v>
      </c>
      <c r="L8" s="122">
        <f t="shared" si="2"/>
        <v>0</v>
      </c>
      <c r="M8" s="173">
        <f>$G8*F8*150/100</f>
        <v>2250</v>
      </c>
      <c r="O8" s="48"/>
      <c r="P8" s="645"/>
      <c r="Q8" s="645"/>
      <c r="R8" s="645"/>
      <c r="S8" s="645"/>
      <c r="T8" s="48"/>
      <c r="U8" s="50" t="s">
        <v>359</v>
      </c>
      <c r="V8" s="2">
        <f>K104+(K6+K10+K11+K46+K92+K93+K94+K95+K96+K97+K98+K99+K100+K101+K102+K103+K161)/2</f>
        <v>1558.94</v>
      </c>
    </row>
    <row r="9" spans="1:22" x14ac:dyDescent="0.2">
      <c r="A9" s="201" t="s">
        <v>364</v>
      </c>
      <c r="B9" s="202">
        <v>9</v>
      </c>
      <c r="C9" s="202">
        <v>0</v>
      </c>
      <c r="D9" s="202">
        <v>0.7</v>
      </c>
      <c r="E9" s="203">
        <v>0</v>
      </c>
      <c r="F9" s="246">
        <v>90</v>
      </c>
      <c r="G9" s="250"/>
      <c r="H9" s="269">
        <f t="shared" ref="H9:J10" si="3">$G9*B9*200/100</f>
        <v>0</v>
      </c>
      <c r="I9" s="173">
        <f t="shared" si="3"/>
        <v>0</v>
      </c>
      <c r="J9" s="173">
        <f t="shared" si="3"/>
        <v>0</v>
      </c>
      <c r="K9" s="168">
        <f t="shared" si="0"/>
        <v>0</v>
      </c>
      <c r="L9" s="122">
        <f t="shared" si="2"/>
        <v>0</v>
      </c>
      <c r="M9" s="173">
        <f>$G9*F9*200/100</f>
        <v>0</v>
      </c>
      <c r="O9" s="48"/>
      <c r="P9" s="645"/>
      <c r="Q9" s="645"/>
      <c r="R9" s="645"/>
      <c r="S9" s="645"/>
      <c r="T9" s="48"/>
      <c r="U9" s="463" t="s">
        <v>361</v>
      </c>
      <c r="V9" s="2">
        <f>M20</f>
        <v>0</v>
      </c>
    </row>
    <row r="10" spans="1:22" x14ac:dyDescent="0.2">
      <c r="A10" s="161" t="s">
        <v>110</v>
      </c>
      <c r="B10" s="204">
        <v>10</v>
      </c>
      <c r="C10" s="204">
        <v>0.5</v>
      </c>
      <c r="D10" s="204">
        <v>0.5</v>
      </c>
      <c r="E10" s="203">
        <v>0</v>
      </c>
      <c r="F10" s="246">
        <f>100-B10-C10-D10</f>
        <v>89</v>
      </c>
      <c r="G10" s="250"/>
      <c r="H10" s="269">
        <f t="shared" si="3"/>
        <v>0</v>
      </c>
      <c r="I10" s="173">
        <f t="shared" si="3"/>
        <v>0</v>
      </c>
      <c r="J10" s="173">
        <f t="shared" si="3"/>
        <v>0</v>
      </c>
      <c r="K10" s="168">
        <f t="shared" si="0"/>
        <v>0</v>
      </c>
      <c r="L10" s="122">
        <f t="shared" si="2"/>
        <v>0</v>
      </c>
      <c r="M10" s="173">
        <f>$G10*F10*200/100</f>
        <v>0</v>
      </c>
      <c r="O10" s="48"/>
      <c r="P10" s="645"/>
      <c r="Q10" s="645"/>
      <c r="R10" s="645"/>
      <c r="S10" s="645"/>
      <c r="T10" s="48"/>
    </row>
    <row r="11" spans="1:22" x14ac:dyDescent="0.2">
      <c r="A11" s="201" t="s">
        <v>165</v>
      </c>
      <c r="B11" s="202">
        <v>9</v>
      </c>
      <c r="C11" s="202">
        <v>0</v>
      </c>
      <c r="D11" s="202">
        <v>0</v>
      </c>
      <c r="E11" s="203">
        <v>0</v>
      </c>
      <c r="F11" s="246">
        <v>91</v>
      </c>
      <c r="G11" s="250"/>
      <c r="H11" s="269">
        <f>$G11*B11*180/100</f>
        <v>0</v>
      </c>
      <c r="I11" s="173">
        <f>$G11*C11*180/100</f>
        <v>0</v>
      </c>
      <c r="J11" s="173">
        <f>$G11*D11*180/100</f>
        <v>0</v>
      </c>
      <c r="K11" s="168">
        <f t="shared" si="0"/>
        <v>0</v>
      </c>
      <c r="L11" s="122">
        <f>$G11*E11*100/100</f>
        <v>0</v>
      </c>
      <c r="M11" s="173">
        <f>$G11*F11*180/100</f>
        <v>0</v>
      </c>
      <c r="O11" s="48"/>
      <c r="P11" s="645"/>
      <c r="Q11" s="645"/>
      <c r="R11" s="645"/>
      <c r="S11" s="645"/>
      <c r="T11" s="48"/>
    </row>
    <row r="12" spans="1:22" ht="13.5" thickBot="1" x14ac:dyDescent="0.25">
      <c r="A12" s="232" t="s">
        <v>166</v>
      </c>
      <c r="B12" s="229">
        <v>0.1</v>
      </c>
      <c r="C12" s="229">
        <v>0</v>
      </c>
      <c r="D12" s="229">
        <v>0.1</v>
      </c>
      <c r="E12" s="203">
        <v>0</v>
      </c>
      <c r="F12" s="252">
        <f>100-B12-C12-D12</f>
        <v>99.800000000000011</v>
      </c>
      <c r="G12" s="251"/>
      <c r="H12" s="270">
        <f>$G12*B12*150/100</f>
        <v>0</v>
      </c>
      <c r="I12" s="176">
        <f>$G12*C12*150/100</f>
        <v>0</v>
      </c>
      <c r="J12" s="176">
        <f>$G12*D12*150/100</f>
        <v>0</v>
      </c>
      <c r="K12" s="230">
        <f t="shared" si="0"/>
        <v>0</v>
      </c>
      <c r="L12" s="122">
        <f>$G12*E12*100/100</f>
        <v>0</v>
      </c>
      <c r="M12" s="176">
        <f>$G12*F12*150/100</f>
        <v>0</v>
      </c>
      <c r="O12" s="48"/>
      <c r="P12" s="645"/>
      <c r="Q12" s="645"/>
      <c r="R12" s="645"/>
      <c r="S12" s="645"/>
      <c r="T12" s="48"/>
    </row>
    <row r="13" spans="1:22" s="194" customFormat="1" ht="18" customHeight="1" thickBot="1" x14ac:dyDescent="0.25">
      <c r="A13" s="275" t="s">
        <v>173</v>
      </c>
      <c r="B13" s="259"/>
      <c r="C13" s="276"/>
      <c r="D13" s="259"/>
      <c r="E13" s="259"/>
      <c r="F13" s="259" t="s">
        <v>174</v>
      </c>
      <c r="G13" s="259"/>
      <c r="H13" s="259"/>
      <c r="I13" s="277"/>
      <c r="J13" s="278"/>
      <c r="K13" s="658" t="s">
        <v>174</v>
      </c>
      <c r="L13" s="659"/>
      <c r="M13" s="660"/>
      <c r="N13" s="64"/>
      <c r="O13" s="48"/>
      <c r="P13" s="657"/>
      <c r="Q13" s="657"/>
      <c r="R13" s="657"/>
      <c r="S13" s="657"/>
      <c r="T13" s="195"/>
    </row>
    <row r="14" spans="1:22" x14ac:dyDescent="0.2">
      <c r="A14" s="266" t="s">
        <v>167</v>
      </c>
      <c r="B14" s="198">
        <v>10</v>
      </c>
      <c r="C14" s="198">
        <v>0</v>
      </c>
      <c r="D14" s="198">
        <v>0.3</v>
      </c>
      <c r="E14" s="199">
        <v>0</v>
      </c>
      <c r="F14" s="279">
        <v>5</v>
      </c>
      <c r="G14" s="249"/>
      <c r="H14" s="271">
        <f t="shared" ref="H14:J15" si="4">$G14*B14*250/100</f>
        <v>0</v>
      </c>
      <c r="I14" s="170">
        <f t="shared" si="4"/>
        <v>0</v>
      </c>
      <c r="J14" s="170">
        <f t="shared" si="4"/>
        <v>0</v>
      </c>
      <c r="K14" s="588">
        <f t="shared" ref="K14:K19" si="5">H14*16.7+I14*37.6+J14*16.7</f>
        <v>0</v>
      </c>
      <c r="L14" s="590">
        <f t="shared" ref="L14:L19" si="6">$G14*E14*100/100</f>
        <v>0</v>
      </c>
      <c r="M14" s="589">
        <f>$G14*F14*250/100</f>
        <v>0</v>
      </c>
      <c r="O14" s="48"/>
      <c r="P14" s="645"/>
      <c r="Q14" s="645"/>
      <c r="R14" s="645"/>
      <c r="S14" s="645"/>
      <c r="T14" s="48"/>
    </row>
    <row r="15" spans="1:22" x14ac:dyDescent="0.2">
      <c r="A15" s="267" t="s">
        <v>168</v>
      </c>
      <c r="B15" s="268">
        <v>13.2</v>
      </c>
      <c r="C15" s="268">
        <v>0</v>
      </c>
      <c r="D15" s="268">
        <v>1</v>
      </c>
      <c r="E15" s="203">
        <v>0</v>
      </c>
      <c r="F15" s="280">
        <v>5</v>
      </c>
      <c r="G15" s="250"/>
      <c r="H15" s="248">
        <f t="shared" si="4"/>
        <v>0</v>
      </c>
      <c r="I15" s="202">
        <f t="shared" si="4"/>
        <v>0</v>
      </c>
      <c r="J15" s="202">
        <f t="shared" si="4"/>
        <v>0</v>
      </c>
      <c r="K15" s="168">
        <f t="shared" si="5"/>
        <v>0</v>
      </c>
      <c r="L15" s="590">
        <f t="shared" si="6"/>
        <v>0</v>
      </c>
      <c r="M15" s="262">
        <f>$G15*F15*250/100</f>
        <v>0</v>
      </c>
      <c r="O15" s="48"/>
      <c r="P15" s="645"/>
      <c r="Q15" s="645"/>
      <c r="R15" s="645"/>
      <c r="S15" s="645"/>
      <c r="T15" s="48"/>
    </row>
    <row r="16" spans="1:22" x14ac:dyDescent="0.2">
      <c r="A16" s="267" t="s">
        <v>169</v>
      </c>
      <c r="B16" s="268">
        <v>4</v>
      </c>
      <c r="C16" s="268">
        <v>0</v>
      </c>
      <c r="D16" s="268">
        <v>0.2</v>
      </c>
      <c r="E16" s="203">
        <v>0</v>
      </c>
      <c r="F16" s="280">
        <v>45</v>
      </c>
      <c r="G16" s="250"/>
      <c r="H16" s="248">
        <f>$G16*B16*30/100</f>
        <v>0</v>
      </c>
      <c r="I16" s="202">
        <f>$G16*C16*30/100</f>
        <v>0</v>
      </c>
      <c r="J16" s="202">
        <f>$G16*D16*30/100</f>
        <v>0</v>
      </c>
      <c r="K16" s="168">
        <f t="shared" si="5"/>
        <v>0</v>
      </c>
      <c r="L16" s="590">
        <f t="shared" si="6"/>
        <v>0</v>
      </c>
      <c r="M16" s="262">
        <f>$G16*F16*30/100</f>
        <v>0</v>
      </c>
      <c r="O16" s="48"/>
      <c r="P16" s="645"/>
      <c r="Q16" s="645"/>
      <c r="R16" s="645"/>
      <c r="S16" s="645"/>
      <c r="T16" s="48"/>
    </row>
    <row r="17" spans="1:20" x14ac:dyDescent="0.2">
      <c r="A17" s="267" t="s">
        <v>170</v>
      </c>
      <c r="B17" s="268">
        <v>0.15</v>
      </c>
      <c r="C17" s="268">
        <v>0</v>
      </c>
      <c r="D17" s="268">
        <v>0</v>
      </c>
      <c r="E17" s="203">
        <v>0</v>
      </c>
      <c r="F17" s="280">
        <v>13</v>
      </c>
      <c r="G17" s="250"/>
      <c r="H17" s="248">
        <f>$G17*B17*150/100</f>
        <v>0</v>
      </c>
      <c r="I17" s="202">
        <f>$G17*C17*150/100</f>
        <v>0</v>
      </c>
      <c r="J17" s="202">
        <f>$G17*D17*150/100</f>
        <v>0</v>
      </c>
      <c r="K17" s="168">
        <f t="shared" si="5"/>
        <v>0</v>
      </c>
      <c r="L17" s="590">
        <f t="shared" si="6"/>
        <v>0</v>
      </c>
      <c r="M17" s="262">
        <f>$G17*F17*150/100</f>
        <v>0</v>
      </c>
      <c r="O17" s="48"/>
      <c r="P17" s="645"/>
      <c r="Q17" s="645"/>
      <c r="R17" s="645"/>
      <c r="S17" s="645"/>
      <c r="T17" s="48"/>
    </row>
    <row r="18" spans="1:20" x14ac:dyDescent="0.2">
      <c r="A18" s="267" t="s">
        <v>171</v>
      </c>
      <c r="B18" s="268">
        <v>3</v>
      </c>
      <c r="C18" s="268">
        <v>0</v>
      </c>
      <c r="D18" s="268">
        <v>0.1</v>
      </c>
      <c r="E18" s="203">
        <v>0</v>
      </c>
      <c r="F18" s="280">
        <v>25</v>
      </c>
      <c r="G18" s="250"/>
      <c r="H18" s="248">
        <f>$G18*B18*60/100</f>
        <v>0</v>
      </c>
      <c r="I18" s="202">
        <f>$G18*C18*60/100</f>
        <v>0</v>
      </c>
      <c r="J18" s="202">
        <f>$G18*D18*60/100</f>
        <v>0</v>
      </c>
      <c r="K18" s="168">
        <f t="shared" si="5"/>
        <v>0</v>
      </c>
      <c r="L18" s="590">
        <f t="shared" si="6"/>
        <v>0</v>
      </c>
      <c r="M18" s="260">
        <f>$G18*F18*60/100</f>
        <v>0</v>
      </c>
      <c r="O18" s="48"/>
      <c r="P18" s="645"/>
      <c r="Q18" s="645"/>
      <c r="R18" s="645"/>
      <c r="S18" s="645"/>
      <c r="T18" s="48"/>
    </row>
    <row r="19" spans="1:20" ht="13.5" thickBot="1" x14ac:dyDescent="0.25">
      <c r="A19" s="267" t="s">
        <v>172</v>
      </c>
      <c r="B19" s="268">
        <v>0.5</v>
      </c>
      <c r="C19" s="268">
        <v>0</v>
      </c>
      <c r="D19" s="268">
        <v>0.2</v>
      </c>
      <c r="E19" s="203">
        <v>0</v>
      </c>
      <c r="F19" s="280">
        <v>45</v>
      </c>
      <c r="G19" s="251"/>
      <c r="H19" s="248">
        <f>$G19*B19*15/100</f>
        <v>0</v>
      </c>
      <c r="I19" s="202">
        <f>$G19*C19*15/100</f>
        <v>0</v>
      </c>
      <c r="J19" s="202">
        <f>$G19*D19*15/100</f>
        <v>0</v>
      </c>
      <c r="K19" s="168">
        <f t="shared" si="5"/>
        <v>0</v>
      </c>
      <c r="L19" s="590">
        <f t="shared" si="6"/>
        <v>0</v>
      </c>
      <c r="M19" s="262">
        <f>$G19*F19*15/100</f>
        <v>0</v>
      </c>
      <c r="O19" s="48"/>
      <c r="P19" s="48" t="s">
        <v>57</v>
      </c>
      <c r="Q19" s="52">
        <f>M177</f>
        <v>4213.5</v>
      </c>
      <c r="R19" s="48" t="s">
        <v>74</v>
      </c>
      <c r="S19" s="48"/>
      <c r="T19" s="48"/>
    </row>
    <row r="20" spans="1:20" ht="13.5" thickBot="1" x14ac:dyDescent="0.25">
      <c r="A20" s="212"/>
      <c r="B20" s="65"/>
      <c r="C20" s="213"/>
      <c r="D20" s="213"/>
      <c r="E20" s="214"/>
      <c r="F20" s="215"/>
      <c r="G20" s="272" t="s">
        <v>175</v>
      </c>
      <c r="H20" s="263"/>
      <c r="I20" s="263"/>
      <c r="J20" s="263"/>
      <c r="K20" s="264"/>
      <c r="L20" s="587"/>
      <c r="M20" s="265">
        <f>SUM(M14:M19)</f>
        <v>0</v>
      </c>
      <c r="O20" s="48"/>
      <c r="P20" s="54" t="s">
        <v>73</v>
      </c>
      <c r="Q20" s="55">
        <f>Q19/1000</f>
        <v>4.2134999999999998</v>
      </c>
      <c r="R20" s="48" t="s">
        <v>75</v>
      </c>
      <c r="S20" s="48"/>
      <c r="T20" s="48"/>
    </row>
    <row r="21" spans="1:20" s="194" customFormat="1" ht="18" customHeight="1" thickBot="1" x14ac:dyDescent="0.25">
      <c r="A21" s="216" t="s">
        <v>326</v>
      </c>
      <c r="B21" s="217"/>
      <c r="C21" s="218"/>
      <c r="D21" s="217"/>
      <c r="E21" s="217"/>
      <c r="F21" s="217"/>
      <c r="G21" s="217"/>
      <c r="H21" s="219"/>
      <c r="I21" s="220"/>
      <c r="J21" s="221"/>
      <c r="K21" s="222"/>
      <c r="L21" s="591"/>
      <c r="M21" s="223"/>
      <c r="N21" s="64"/>
      <c r="O21" s="48"/>
      <c r="P21" s="648" t="s">
        <v>79</v>
      </c>
      <c r="Q21" s="648"/>
      <c r="R21" s="648"/>
      <c r="S21" s="648"/>
      <c r="T21" s="195"/>
    </row>
    <row r="22" spans="1:20" ht="13.5" thickBot="1" x14ac:dyDescent="0.25">
      <c r="A22" s="224" t="s">
        <v>318</v>
      </c>
      <c r="B22" s="198">
        <v>50.5</v>
      </c>
      <c r="C22" s="198">
        <v>1</v>
      </c>
      <c r="D22" s="198">
        <v>7</v>
      </c>
      <c r="E22" s="199">
        <v>0.4</v>
      </c>
      <c r="F22" s="245">
        <f>100-B22-C22-E22-D22</f>
        <v>41.1</v>
      </c>
      <c r="G22" s="249">
        <v>13</v>
      </c>
      <c r="H22" s="247">
        <f>$G22*B22*30/100</f>
        <v>196.95</v>
      </c>
      <c r="I22" s="198">
        <f>$G22*C22*30/100</f>
        <v>3.9</v>
      </c>
      <c r="J22" s="198">
        <f>$G22*D22*30/100</f>
        <v>27.3</v>
      </c>
      <c r="K22" s="588">
        <f t="shared" ref="K22:K44" si="7">H22*16.7+I22*37.6+J22*16.7</f>
        <v>3891.6149999999993</v>
      </c>
      <c r="L22" s="590">
        <f t="shared" ref="L22:L86" si="8">$G22*E22*100/100</f>
        <v>5.2</v>
      </c>
      <c r="M22" s="271">
        <f>$G22*F22*30/100</f>
        <v>160.29000000000002</v>
      </c>
      <c r="O22" s="48"/>
      <c r="P22" s="649"/>
      <c r="Q22" s="649"/>
      <c r="R22" s="649"/>
      <c r="S22" s="649"/>
      <c r="T22" s="48"/>
    </row>
    <row r="23" spans="1:20" s="67" customFormat="1" ht="13.5" thickBot="1" x14ac:dyDescent="0.25">
      <c r="A23" s="161" t="s">
        <v>176</v>
      </c>
      <c r="B23" s="204">
        <v>72.900000000000006</v>
      </c>
      <c r="C23" s="204">
        <v>6.5</v>
      </c>
      <c r="D23" s="204">
        <v>13.2</v>
      </c>
      <c r="E23" s="199">
        <v>0.4</v>
      </c>
      <c r="F23" s="245">
        <f t="shared" ref="F23:F44" si="9">100-B23-C23-E23-D23</f>
        <v>6.9999999999999964</v>
      </c>
      <c r="G23" s="250"/>
      <c r="H23" s="248">
        <f>$G23*B23*15/100</f>
        <v>0</v>
      </c>
      <c r="I23" s="202">
        <f>$G23*C23*15/100</f>
        <v>0</v>
      </c>
      <c r="J23" s="202">
        <f>$G23*D23*15/100</f>
        <v>0</v>
      </c>
      <c r="K23" s="168">
        <f t="shared" si="7"/>
        <v>0</v>
      </c>
      <c r="L23" s="590">
        <f t="shared" si="8"/>
        <v>0</v>
      </c>
      <c r="M23" s="173">
        <f>$G23*F23*15/100</f>
        <v>0</v>
      </c>
      <c r="N23" s="66"/>
      <c r="O23" s="56"/>
      <c r="P23" s="649"/>
      <c r="Q23" s="649"/>
      <c r="R23" s="649"/>
      <c r="S23" s="649"/>
      <c r="T23" s="56"/>
    </row>
    <row r="24" spans="1:20" ht="13.5" customHeight="1" x14ac:dyDescent="0.2">
      <c r="A24" s="161" t="s">
        <v>177</v>
      </c>
      <c r="B24" s="202">
        <v>49</v>
      </c>
      <c r="C24" s="202">
        <v>1</v>
      </c>
      <c r="D24" s="202">
        <v>8</v>
      </c>
      <c r="E24" s="203">
        <v>4.4000000000000004</v>
      </c>
      <c r="F24" s="245">
        <f t="shared" si="9"/>
        <v>37.6</v>
      </c>
      <c r="G24" s="250"/>
      <c r="H24" s="248">
        <f>$G24*B24*20/100</f>
        <v>0</v>
      </c>
      <c r="I24" s="202">
        <f>$G24*C24*20/100</f>
        <v>0</v>
      </c>
      <c r="J24" s="202">
        <f>$G24*D24*20/100</f>
        <v>0</v>
      </c>
      <c r="K24" s="168">
        <f t="shared" si="7"/>
        <v>0</v>
      </c>
      <c r="L24" s="590">
        <f t="shared" si="8"/>
        <v>0</v>
      </c>
      <c r="M24" s="173">
        <f>$G24*F24*20/100</f>
        <v>0</v>
      </c>
      <c r="O24" s="48"/>
      <c r="P24" s="48"/>
      <c r="Q24" s="48"/>
      <c r="R24" s="48"/>
      <c r="S24" s="48"/>
      <c r="T24" s="48"/>
    </row>
    <row r="25" spans="1:20" ht="13.5" customHeight="1" x14ac:dyDescent="0.2">
      <c r="A25" s="161" t="s">
        <v>190</v>
      </c>
      <c r="B25" s="202">
        <v>40.700000000000003</v>
      </c>
      <c r="C25" s="202">
        <v>11.8</v>
      </c>
      <c r="D25" s="202">
        <v>8.4</v>
      </c>
      <c r="E25" s="203">
        <v>0.4</v>
      </c>
      <c r="F25" s="245">
        <f t="shared" si="9"/>
        <v>38.700000000000003</v>
      </c>
      <c r="G25" s="250"/>
      <c r="H25" s="248">
        <f>$G25*B25*100/100</f>
        <v>0</v>
      </c>
      <c r="I25" s="202">
        <f>$G25*C25*100/100</f>
        <v>0</v>
      </c>
      <c r="J25" s="202">
        <f>$G25*D25*100/100</f>
        <v>0</v>
      </c>
      <c r="K25" s="168">
        <f t="shared" si="7"/>
        <v>0</v>
      </c>
      <c r="L25" s="590">
        <f t="shared" si="8"/>
        <v>0</v>
      </c>
      <c r="M25" s="173">
        <f>$G25*F25*20/100</f>
        <v>0</v>
      </c>
      <c r="O25" s="48"/>
      <c r="P25" s="48"/>
      <c r="Q25" s="459" t="s">
        <v>341</v>
      </c>
      <c r="R25" s="458" t="s">
        <v>342</v>
      </c>
      <c r="S25" s="48"/>
      <c r="T25" s="48"/>
    </row>
    <row r="26" spans="1:20" ht="13.5" customHeight="1" x14ac:dyDescent="0.2">
      <c r="A26" s="161" t="s">
        <v>178</v>
      </c>
      <c r="B26" s="202">
        <v>75</v>
      </c>
      <c r="C26" s="202">
        <v>2.5</v>
      </c>
      <c r="D26" s="202">
        <v>10</v>
      </c>
      <c r="E26" s="203">
        <v>0.4</v>
      </c>
      <c r="F26" s="245">
        <f t="shared" si="9"/>
        <v>12.100000000000001</v>
      </c>
      <c r="G26" s="250"/>
      <c r="H26" s="248">
        <f>$G26*B26*10/100</f>
        <v>0</v>
      </c>
      <c r="I26" s="202">
        <f>$G26*C26*10/100</f>
        <v>0</v>
      </c>
      <c r="J26" s="202">
        <f>$G26*D26*10/100</f>
        <v>0</v>
      </c>
      <c r="K26" s="168">
        <f t="shared" si="7"/>
        <v>0</v>
      </c>
      <c r="L26" s="590">
        <f t="shared" si="8"/>
        <v>0</v>
      </c>
      <c r="M26" s="173">
        <f>$G26*F26*10/100</f>
        <v>0</v>
      </c>
      <c r="O26" s="48"/>
      <c r="P26" s="460" t="s">
        <v>59</v>
      </c>
      <c r="Q26" s="52">
        <f>colazione!K54</f>
        <v>40764.184000000001</v>
      </c>
      <c r="R26" s="55">
        <f>Q26*0.239006</f>
        <v>9742.8845611039997</v>
      </c>
      <c r="S26" s="48"/>
      <c r="T26" s="48"/>
    </row>
    <row r="27" spans="1:20" ht="13.5" customHeight="1" x14ac:dyDescent="0.2">
      <c r="A27" s="201" t="s">
        <v>179</v>
      </c>
      <c r="B27" s="202">
        <v>20.8</v>
      </c>
      <c r="C27" s="202">
        <v>0.7</v>
      </c>
      <c r="D27" s="202">
        <v>2.7</v>
      </c>
      <c r="E27" s="203">
        <v>2</v>
      </c>
      <c r="F27" s="245">
        <f t="shared" si="9"/>
        <v>73.8</v>
      </c>
      <c r="G27" s="250"/>
      <c r="H27" s="248">
        <f t="shared" ref="H27:J28" si="10">$G27*B27*80/100</f>
        <v>0</v>
      </c>
      <c r="I27" s="202">
        <f t="shared" si="10"/>
        <v>0</v>
      </c>
      <c r="J27" s="202">
        <f t="shared" si="10"/>
        <v>0</v>
      </c>
      <c r="K27" s="168">
        <f t="shared" si="7"/>
        <v>0</v>
      </c>
      <c r="L27" s="590">
        <f t="shared" si="8"/>
        <v>0</v>
      </c>
      <c r="M27" s="173">
        <f>$G27*F27*80/100</f>
        <v>0</v>
      </c>
      <c r="O27" s="48"/>
      <c r="P27" s="460" t="s">
        <v>60</v>
      </c>
      <c r="Q27" s="52">
        <f>pranzo!K177</f>
        <v>21126.135000000002</v>
      </c>
      <c r="R27" s="55">
        <f t="shared" ref="R27:R30" si="11">Q27*0.239006</f>
        <v>5049.2730218100005</v>
      </c>
      <c r="S27" s="48"/>
      <c r="T27" s="48"/>
    </row>
    <row r="28" spans="1:20" x14ac:dyDescent="0.2">
      <c r="A28" s="201" t="s">
        <v>180</v>
      </c>
      <c r="B28" s="202">
        <v>16</v>
      </c>
      <c r="C28" s="202">
        <v>4.5</v>
      </c>
      <c r="D28" s="202">
        <v>4</v>
      </c>
      <c r="E28" s="203">
        <v>1.9</v>
      </c>
      <c r="F28" s="245">
        <f t="shared" si="9"/>
        <v>73.599999999999994</v>
      </c>
      <c r="G28" s="250"/>
      <c r="H28" s="248">
        <f t="shared" si="10"/>
        <v>0</v>
      </c>
      <c r="I28" s="202">
        <f t="shared" si="10"/>
        <v>0</v>
      </c>
      <c r="J28" s="202">
        <f t="shared" si="10"/>
        <v>0</v>
      </c>
      <c r="K28" s="168">
        <f t="shared" si="7"/>
        <v>0</v>
      </c>
      <c r="L28" s="590">
        <f t="shared" si="8"/>
        <v>0</v>
      </c>
      <c r="M28" s="173">
        <f>$G28*F28*80/100</f>
        <v>0</v>
      </c>
      <c r="O28" s="48"/>
      <c r="P28" s="460" t="s">
        <v>61</v>
      </c>
      <c r="Q28" s="52">
        <f>merenda!K90</f>
        <v>20970.407999999999</v>
      </c>
      <c r="R28" s="55">
        <f t="shared" si="11"/>
        <v>5012.053334448</v>
      </c>
      <c r="S28" s="48"/>
      <c r="T28" s="48"/>
    </row>
    <row r="29" spans="1:20" x14ac:dyDescent="0.2">
      <c r="A29" s="161" t="s">
        <v>204</v>
      </c>
      <c r="B29" s="204">
        <v>7</v>
      </c>
      <c r="C29" s="204">
        <v>53</v>
      </c>
      <c r="D29" s="204">
        <v>24</v>
      </c>
      <c r="E29" s="203">
        <v>6.9</v>
      </c>
      <c r="F29" s="245">
        <f t="shared" si="9"/>
        <v>9.1000000000000014</v>
      </c>
      <c r="G29" s="250"/>
      <c r="H29" s="248">
        <f t="shared" ref="H29:J31" si="12">$G29*B29*30/100</f>
        <v>0</v>
      </c>
      <c r="I29" s="202">
        <f t="shared" si="12"/>
        <v>0</v>
      </c>
      <c r="J29" s="202">
        <f t="shared" si="12"/>
        <v>0</v>
      </c>
      <c r="K29" s="168">
        <f t="shared" si="7"/>
        <v>0</v>
      </c>
      <c r="L29" s="590">
        <f t="shared" si="8"/>
        <v>0</v>
      </c>
      <c r="M29" s="173">
        <f>$G29*F29*30/100</f>
        <v>0</v>
      </c>
      <c r="O29" s="48"/>
      <c r="P29" s="460" t="s">
        <v>62</v>
      </c>
      <c r="Q29" s="52">
        <f>spuntino!$K$84</f>
        <v>11504.668999999998</v>
      </c>
      <c r="R29" s="55">
        <f t="shared" si="11"/>
        <v>2749.6849190139997</v>
      </c>
      <c r="S29" s="48"/>
      <c r="T29" s="48"/>
    </row>
    <row r="30" spans="1:20" x14ac:dyDescent="0.2">
      <c r="A30" s="161" t="s">
        <v>205</v>
      </c>
      <c r="B30" s="204">
        <v>3.9</v>
      </c>
      <c r="C30" s="204">
        <v>63.7</v>
      </c>
      <c r="D30" s="204">
        <v>15.8</v>
      </c>
      <c r="E30" s="203">
        <v>6.2</v>
      </c>
      <c r="F30" s="245">
        <f t="shared" si="9"/>
        <v>10.399999999999991</v>
      </c>
      <c r="G30" s="250"/>
      <c r="H30" s="248">
        <f t="shared" si="12"/>
        <v>0</v>
      </c>
      <c r="I30" s="202">
        <f t="shared" si="12"/>
        <v>0</v>
      </c>
      <c r="J30" s="202">
        <f t="shared" si="12"/>
        <v>0</v>
      </c>
      <c r="K30" s="168">
        <f t="shared" si="7"/>
        <v>0</v>
      </c>
      <c r="L30" s="590">
        <f t="shared" si="8"/>
        <v>0</v>
      </c>
      <c r="M30" s="173">
        <f>$G30*F30*30/100</f>
        <v>0</v>
      </c>
      <c r="O30" s="48"/>
      <c r="P30" s="460" t="s">
        <v>63</v>
      </c>
      <c r="Q30" s="52">
        <f>cena!K177</f>
        <v>32347.438599999998</v>
      </c>
      <c r="R30" s="55">
        <f t="shared" si="11"/>
        <v>7731.231910031599</v>
      </c>
      <c r="S30" s="48"/>
      <c r="T30" s="48"/>
    </row>
    <row r="31" spans="1:20" x14ac:dyDescent="0.2">
      <c r="A31" s="161" t="s">
        <v>206</v>
      </c>
      <c r="B31" s="204">
        <v>8.1999999999999993</v>
      </c>
      <c r="C31" s="204">
        <v>55.4</v>
      </c>
      <c r="D31" s="204">
        <v>17.899999999999999</v>
      </c>
      <c r="E31" s="203">
        <v>6.1</v>
      </c>
      <c r="F31" s="245">
        <f t="shared" si="9"/>
        <v>12.399999999999999</v>
      </c>
      <c r="G31" s="250"/>
      <c r="H31" s="248">
        <f t="shared" si="12"/>
        <v>0</v>
      </c>
      <c r="I31" s="202">
        <f t="shared" si="12"/>
        <v>0</v>
      </c>
      <c r="J31" s="202">
        <f t="shared" si="12"/>
        <v>0</v>
      </c>
      <c r="K31" s="168">
        <f t="shared" si="7"/>
        <v>0</v>
      </c>
      <c r="L31" s="590">
        <f t="shared" si="8"/>
        <v>0</v>
      </c>
      <c r="M31" s="173">
        <f>$G31*F31*30/100</f>
        <v>0</v>
      </c>
      <c r="O31" s="48"/>
      <c r="P31" s="49"/>
      <c r="Q31" s="49"/>
      <c r="R31" s="49"/>
      <c r="S31" s="49"/>
      <c r="T31" s="48"/>
    </row>
    <row r="32" spans="1:20" x14ac:dyDescent="0.2">
      <c r="A32" s="201" t="s">
        <v>212</v>
      </c>
      <c r="B32" s="225">
        <v>15.5</v>
      </c>
      <c r="C32" s="225">
        <v>8</v>
      </c>
      <c r="D32" s="225">
        <v>6</v>
      </c>
      <c r="E32" s="203">
        <v>3.2</v>
      </c>
      <c r="F32" s="245">
        <f t="shared" si="9"/>
        <v>67.3</v>
      </c>
      <c r="G32" s="250">
        <v>4</v>
      </c>
      <c r="H32" s="248">
        <f t="shared" ref="H32:J33" si="13">$G32*B32*100/100</f>
        <v>62</v>
      </c>
      <c r="I32" s="202">
        <f t="shared" si="13"/>
        <v>32</v>
      </c>
      <c r="J32" s="202">
        <f t="shared" si="13"/>
        <v>24</v>
      </c>
      <c r="K32" s="168">
        <f t="shared" si="7"/>
        <v>2639.3999999999996</v>
      </c>
      <c r="L32" s="590">
        <f t="shared" si="8"/>
        <v>12.8</v>
      </c>
      <c r="M32" s="173">
        <f>$G32*F32*80/100</f>
        <v>215.36</v>
      </c>
      <c r="O32" s="48"/>
      <c r="P32" s="49"/>
      <c r="Q32" s="49"/>
      <c r="R32" s="49"/>
      <c r="S32" s="49"/>
      <c r="T32" s="48"/>
    </row>
    <row r="33" spans="1:20" x14ac:dyDescent="0.2">
      <c r="A33" s="201" t="s">
        <v>661</v>
      </c>
      <c r="B33" s="225">
        <v>13.5</v>
      </c>
      <c r="C33" s="225">
        <v>8</v>
      </c>
      <c r="D33" s="225">
        <v>6</v>
      </c>
      <c r="E33" s="203">
        <v>5</v>
      </c>
      <c r="F33" s="245">
        <f t="shared" si="9"/>
        <v>67.5</v>
      </c>
      <c r="G33" s="250"/>
      <c r="H33" s="248">
        <f t="shared" si="13"/>
        <v>0</v>
      </c>
      <c r="I33" s="202">
        <f t="shared" si="13"/>
        <v>0</v>
      </c>
      <c r="J33" s="202">
        <f t="shared" si="13"/>
        <v>0</v>
      </c>
      <c r="K33" s="168">
        <f t="shared" si="7"/>
        <v>0</v>
      </c>
      <c r="L33" s="590">
        <f t="shared" si="8"/>
        <v>0</v>
      </c>
      <c r="M33" s="173">
        <f>$G33*F33*80/100</f>
        <v>0</v>
      </c>
      <c r="O33" s="48"/>
      <c r="P33" s="49"/>
      <c r="Q33" s="49"/>
      <c r="R33" s="49"/>
      <c r="S33" s="49"/>
      <c r="T33" s="48"/>
    </row>
    <row r="34" spans="1:20" x14ac:dyDescent="0.2">
      <c r="A34" s="201" t="s">
        <v>211</v>
      </c>
      <c r="B34" s="225">
        <v>22</v>
      </c>
      <c r="C34" s="225">
        <v>7</v>
      </c>
      <c r="D34" s="225">
        <v>5.0999999999999996</v>
      </c>
      <c r="E34" s="203">
        <v>2</v>
      </c>
      <c r="F34" s="245">
        <f t="shared" si="9"/>
        <v>63.9</v>
      </c>
      <c r="G34" s="250"/>
      <c r="H34" s="248">
        <f>$G34*B34*70/100</f>
        <v>0</v>
      </c>
      <c r="I34" s="202">
        <f>$G34*C34*70/100</f>
        <v>0</v>
      </c>
      <c r="J34" s="202">
        <f>$G34*D34*70/100</f>
        <v>0</v>
      </c>
      <c r="K34" s="168">
        <f t="shared" si="7"/>
        <v>0</v>
      </c>
      <c r="L34" s="590">
        <f t="shared" si="8"/>
        <v>0</v>
      </c>
      <c r="M34" s="173">
        <f>$G34*F34*80/100</f>
        <v>0</v>
      </c>
      <c r="O34" s="48"/>
      <c r="P34" s="49"/>
      <c r="Q34" s="49"/>
      <c r="R34" s="49"/>
      <c r="S34" s="49"/>
      <c r="T34" s="48"/>
    </row>
    <row r="35" spans="1:20" x14ac:dyDescent="0.2">
      <c r="A35" s="201" t="s">
        <v>213</v>
      </c>
      <c r="B35" s="225">
        <v>75</v>
      </c>
      <c r="C35" s="225">
        <v>2.5</v>
      </c>
      <c r="D35" s="225">
        <v>3</v>
      </c>
      <c r="E35" s="203">
        <v>2.5</v>
      </c>
      <c r="F35" s="245">
        <f t="shared" si="9"/>
        <v>17</v>
      </c>
      <c r="G35" s="250"/>
      <c r="H35" s="248">
        <f t="shared" ref="H35:J36" si="14">$G35*B35*65/100</f>
        <v>0</v>
      </c>
      <c r="I35" s="202">
        <f t="shared" si="14"/>
        <v>0</v>
      </c>
      <c r="J35" s="202">
        <f t="shared" si="14"/>
        <v>0</v>
      </c>
      <c r="K35" s="168">
        <f t="shared" si="7"/>
        <v>0</v>
      </c>
      <c r="L35" s="590">
        <f t="shared" si="8"/>
        <v>0</v>
      </c>
      <c r="M35" s="173">
        <f>$G35*F35*65/100</f>
        <v>0</v>
      </c>
      <c r="O35" s="48"/>
      <c r="P35" s="49"/>
      <c r="Q35" s="49"/>
      <c r="R35" s="49"/>
      <c r="S35" s="49"/>
      <c r="T35" s="48"/>
    </row>
    <row r="36" spans="1:20" x14ac:dyDescent="0.2">
      <c r="A36" s="287" t="s">
        <v>219</v>
      </c>
      <c r="B36" s="284">
        <v>50.7</v>
      </c>
      <c r="C36" s="284">
        <v>19</v>
      </c>
      <c r="D36" s="284">
        <v>13</v>
      </c>
      <c r="E36" s="288">
        <v>21</v>
      </c>
      <c r="F36" s="245">
        <f t="shared" si="9"/>
        <v>-3.7000000000000028</v>
      </c>
      <c r="G36" s="250">
        <v>0</v>
      </c>
      <c r="H36" s="248">
        <f t="shared" si="14"/>
        <v>0</v>
      </c>
      <c r="I36" s="202">
        <f t="shared" si="14"/>
        <v>0</v>
      </c>
      <c r="J36" s="202">
        <f t="shared" si="14"/>
        <v>0</v>
      </c>
      <c r="K36" s="285">
        <f t="shared" si="7"/>
        <v>0</v>
      </c>
      <c r="L36" s="590">
        <f t="shared" si="8"/>
        <v>0</v>
      </c>
      <c r="M36" s="173">
        <f>$G36*F36*65/100</f>
        <v>0</v>
      </c>
      <c r="O36" s="48"/>
      <c r="P36" s="49"/>
      <c r="Q36" s="49"/>
      <c r="R36" s="49"/>
      <c r="S36" s="49"/>
      <c r="T36" s="48"/>
    </row>
    <row r="37" spans="1:20" x14ac:dyDescent="0.2">
      <c r="A37" s="161" t="s">
        <v>186</v>
      </c>
      <c r="B37" s="202">
        <v>25</v>
      </c>
      <c r="C37" s="202">
        <v>0.1</v>
      </c>
      <c r="D37" s="202">
        <v>2</v>
      </c>
      <c r="E37" s="203">
        <v>0</v>
      </c>
      <c r="F37" s="245">
        <f t="shared" si="9"/>
        <v>72.900000000000006</v>
      </c>
      <c r="G37" s="250">
        <v>2</v>
      </c>
      <c r="H37" s="248">
        <f t="shared" ref="H37:J40" si="15">$G37*B37*250/100</f>
        <v>125</v>
      </c>
      <c r="I37" s="202">
        <f t="shared" si="15"/>
        <v>0.5</v>
      </c>
      <c r="J37" s="202">
        <f t="shared" si="15"/>
        <v>10</v>
      </c>
      <c r="K37" s="168">
        <f t="shared" si="7"/>
        <v>2273.3000000000002</v>
      </c>
      <c r="L37" s="590">
        <f t="shared" si="8"/>
        <v>0</v>
      </c>
      <c r="M37" s="173">
        <f>$G37*F37*250/100</f>
        <v>364.5</v>
      </c>
      <c r="O37" s="48"/>
      <c r="P37" s="49"/>
      <c r="Q37" s="49"/>
      <c r="R37" s="49"/>
      <c r="S37" s="49"/>
      <c r="T37" s="48"/>
    </row>
    <row r="38" spans="1:20" x14ac:dyDescent="0.2">
      <c r="A38" s="161" t="s">
        <v>187</v>
      </c>
      <c r="B38" s="202">
        <v>23</v>
      </c>
      <c r="C38" s="202">
        <v>3.8</v>
      </c>
      <c r="D38" s="202">
        <v>1.7</v>
      </c>
      <c r="E38" s="203">
        <v>0</v>
      </c>
      <c r="F38" s="245">
        <f t="shared" si="9"/>
        <v>71.5</v>
      </c>
      <c r="G38" s="250"/>
      <c r="H38" s="248">
        <f t="shared" si="15"/>
        <v>0</v>
      </c>
      <c r="I38" s="202">
        <f t="shared" si="15"/>
        <v>0</v>
      </c>
      <c r="J38" s="202">
        <f t="shared" si="15"/>
        <v>0</v>
      </c>
      <c r="K38" s="168">
        <f t="shared" si="7"/>
        <v>0</v>
      </c>
      <c r="L38" s="590">
        <f t="shared" si="8"/>
        <v>0</v>
      </c>
      <c r="M38" s="173">
        <f>$G38*F38*250/100</f>
        <v>0</v>
      </c>
      <c r="O38" s="48"/>
      <c r="P38" s="49"/>
      <c r="Q38" s="49"/>
      <c r="R38" s="49"/>
      <c r="S38" s="49"/>
      <c r="T38" s="48"/>
    </row>
    <row r="39" spans="1:20" x14ac:dyDescent="0.2">
      <c r="A39" s="161" t="s">
        <v>192</v>
      </c>
      <c r="B39" s="202">
        <v>16.100000000000001</v>
      </c>
      <c r="C39" s="202">
        <v>11.5</v>
      </c>
      <c r="D39" s="202">
        <v>5.9</v>
      </c>
      <c r="E39" s="203">
        <v>1.2</v>
      </c>
      <c r="F39" s="245">
        <f t="shared" si="9"/>
        <v>65.3</v>
      </c>
      <c r="G39" s="250"/>
      <c r="H39" s="248">
        <f>$G39*B39*50/100</f>
        <v>0</v>
      </c>
      <c r="I39" s="202">
        <f>$G39*C39*50/100</f>
        <v>0</v>
      </c>
      <c r="J39" s="202">
        <f t="shared" si="15"/>
        <v>0</v>
      </c>
      <c r="K39" s="168">
        <f t="shared" si="7"/>
        <v>0</v>
      </c>
      <c r="L39" s="590">
        <f t="shared" si="8"/>
        <v>0</v>
      </c>
      <c r="M39" s="173">
        <f>$G39*F39*250/100</f>
        <v>0</v>
      </c>
      <c r="O39" s="48"/>
      <c r="P39" s="49"/>
      <c r="Q39" s="49"/>
      <c r="R39" s="49"/>
      <c r="S39" s="49"/>
      <c r="T39" s="48"/>
    </row>
    <row r="40" spans="1:20" x14ac:dyDescent="0.2">
      <c r="A40" s="161" t="s">
        <v>356</v>
      </c>
      <c r="B40" s="202">
        <v>30</v>
      </c>
      <c r="C40" s="202">
        <v>0.5</v>
      </c>
      <c r="D40" s="202">
        <v>5</v>
      </c>
      <c r="E40" s="203">
        <v>1.3</v>
      </c>
      <c r="F40" s="245">
        <f t="shared" si="9"/>
        <v>63.2</v>
      </c>
      <c r="G40" s="250"/>
      <c r="H40" s="248">
        <f>$G40*B40*50/100</f>
        <v>0</v>
      </c>
      <c r="I40" s="202">
        <f t="shared" si="15"/>
        <v>0</v>
      </c>
      <c r="J40" s="202">
        <f>$G40*D40*50/100</f>
        <v>0</v>
      </c>
      <c r="K40" s="168">
        <f t="shared" si="7"/>
        <v>0</v>
      </c>
      <c r="L40" s="590">
        <f t="shared" si="8"/>
        <v>0</v>
      </c>
      <c r="M40" s="173">
        <f>$G40*F40*50/100</f>
        <v>0</v>
      </c>
      <c r="O40" s="48"/>
      <c r="P40" s="49"/>
      <c r="Q40" s="49"/>
      <c r="R40" s="49"/>
      <c r="S40" s="49"/>
      <c r="T40" s="48"/>
    </row>
    <row r="41" spans="1:20" x14ac:dyDescent="0.2">
      <c r="A41" s="161" t="s">
        <v>196</v>
      </c>
      <c r="B41" s="202">
        <v>40.799999999999997</v>
      </c>
      <c r="C41" s="202">
        <v>1.4</v>
      </c>
      <c r="D41" s="202">
        <v>4.4000000000000004</v>
      </c>
      <c r="E41" s="203">
        <v>1.3</v>
      </c>
      <c r="F41" s="245">
        <f t="shared" si="9"/>
        <v>52.100000000000009</v>
      </c>
      <c r="G41" s="250"/>
      <c r="H41" s="248">
        <f>$G41*B41*200/100</f>
        <v>0</v>
      </c>
      <c r="I41" s="202">
        <f>$G41*C41*200/100</f>
        <v>0</v>
      </c>
      <c r="J41" s="202">
        <f>$G41*D41*200/100</f>
        <v>0</v>
      </c>
      <c r="K41" s="168">
        <f t="shared" si="7"/>
        <v>0</v>
      </c>
      <c r="L41" s="590">
        <f t="shared" si="8"/>
        <v>0</v>
      </c>
      <c r="M41" s="173">
        <f>$G41*F41*250/100</f>
        <v>0</v>
      </c>
      <c r="O41" s="48"/>
      <c r="P41" s="49"/>
      <c r="Q41" s="49"/>
      <c r="R41" s="49"/>
      <c r="S41" s="49"/>
      <c r="T41" s="48"/>
    </row>
    <row r="42" spans="1:20" x14ac:dyDescent="0.2">
      <c r="A42" s="161" t="s">
        <v>185</v>
      </c>
      <c r="B42" s="204">
        <v>14</v>
      </c>
      <c r="C42" s="204">
        <v>0.1</v>
      </c>
      <c r="D42" s="204">
        <v>2</v>
      </c>
      <c r="E42" s="203">
        <v>2</v>
      </c>
      <c r="F42" s="245">
        <f t="shared" si="9"/>
        <v>81.900000000000006</v>
      </c>
      <c r="G42" s="250"/>
      <c r="H42" s="248">
        <f t="shared" ref="H42:J43" si="16">$G42*B42*200/100</f>
        <v>0</v>
      </c>
      <c r="I42" s="202">
        <f t="shared" si="16"/>
        <v>0</v>
      </c>
      <c r="J42" s="202">
        <f t="shared" si="16"/>
        <v>0</v>
      </c>
      <c r="K42" s="168">
        <f t="shared" si="7"/>
        <v>0</v>
      </c>
      <c r="L42" s="590">
        <f t="shared" si="8"/>
        <v>0</v>
      </c>
      <c r="M42" s="173">
        <f>$G42*F42*200/100</f>
        <v>0</v>
      </c>
      <c r="O42" s="48"/>
      <c r="P42" s="49"/>
      <c r="Q42" s="49"/>
      <c r="R42" s="49"/>
      <c r="S42" s="49"/>
      <c r="T42" s="48"/>
    </row>
    <row r="43" spans="1:20" x14ac:dyDescent="0.2">
      <c r="A43" s="161" t="s">
        <v>184</v>
      </c>
      <c r="B43" s="204">
        <v>12</v>
      </c>
      <c r="C43" s="204">
        <v>5</v>
      </c>
      <c r="D43" s="204">
        <v>1.5</v>
      </c>
      <c r="E43" s="203">
        <v>2</v>
      </c>
      <c r="F43" s="245">
        <f t="shared" si="9"/>
        <v>79.5</v>
      </c>
      <c r="G43" s="250"/>
      <c r="H43" s="248">
        <f t="shared" si="16"/>
        <v>0</v>
      </c>
      <c r="I43" s="202">
        <f t="shared" si="16"/>
        <v>0</v>
      </c>
      <c r="J43" s="202">
        <f t="shared" si="16"/>
        <v>0</v>
      </c>
      <c r="K43" s="168">
        <f t="shared" si="7"/>
        <v>0</v>
      </c>
      <c r="L43" s="590">
        <f t="shared" si="8"/>
        <v>0</v>
      </c>
      <c r="M43" s="173">
        <f>$G43*F43*200/100</f>
        <v>0</v>
      </c>
      <c r="O43" s="48"/>
      <c r="P43" s="49"/>
      <c r="Q43" s="49"/>
      <c r="R43" s="49"/>
      <c r="S43" s="49"/>
      <c r="T43" s="48"/>
    </row>
    <row r="44" spans="1:20" ht="13.5" thickBot="1" x14ac:dyDescent="0.25">
      <c r="A44" s="226" t="s">
        <v>338</v>
      </c>
      <c r="B44" s="227">
        <v>36.299999999999997</v>
      </c>
      <c r="C44" s="227">
        <v>17.2</v>
      </c>
      <c r="D44" s="227">
        <v>4.4000000000000004</v>
      </c>
      <c r="E44" s="228">
        <v>1.6</v>
      </c>
      <c r="F44" s="245">
        <f t="shared" si="9"/>
        <v>40.5</v>
      </c>
      <c r="G44" s="251"/>
      <c r="H44" s="254">
        <f>$G44*B44*250/100</f>
        <v>0</v>
      </c>
      <c r="I44" s="229">
        <f>$G44*C44*250/100</f>
        <v>0</v>
      </c>
      <c r="J44" s="229">
        <f>$G44*D44*250/100</f>
        <v>0</v>
      </c>
      <c r="K44" s="230">
        <f t="shared" si="7"/>
        <v>0</v>
      </c>
      <c r="L44" s="590">
        <f t="shared" si="8"/>
        <v>0</v>
      </c>
      <c r="M44" s="176">
        <f>$G44*F44*250/100</f>
        <v>0</v>
      </c>
      <c r="O44" s="48"/>
      <c r="P44" s="49"/>
      <c r="Q44" s="49"/>
      <c r="R44" s="49"/>
      <c r="S44" s="49"/>
      <c r="T44" s="48"/>
    </row>
    <row r="45" spans="1:20" s="194" customFormat="1" ht="18" customHeight="1" thickBot="1" x14ac:dyDescent="0.25">
      <c r="A45" s="205" t="s">
        <v>315</v>
      </c>
      <c r="B45" s="206"/>
      <c r="C45" s="206"/>
      <c r="D45" s="206"/>
      <c r="E45" s="207"/>
      <c r="F45" s="206"/>
      <c r="G45" s="208"/>
      <c r="H45" s="206"/>
      <c r="I45" s="206"/>
      <c r="J45" s="206"/>
      <c r="K45" s="206"/>
      <c r="L45" s="206"/>
      <c r="M45" s="209"/>
      <c r="N45" s="193"/>
      <c r="O45" s="195"/>
      <c r="T45" s="195"/>
    </row>
    <row r="46" spans="1:20" x14ac:dyDescent="0.2">
      <c r="A46" s="224" t="s">
        <v>329</v>
      </c>
      <c r="B46" s="231">
        <v>25</v>
      </c>
      <c r="C46" s="231">
        <v>0.1</v>
      </c>
      <c r="D46" s="231">
        <v>0.5</v>
      </c>
      <c r="E46" s="199">
        <v>1</v>
      </c>
      <c r="F46" s="245">
        <f>100-B46-C46-E46-D46</f>
        <v>73.400000000000006</v>
      </c>
      <c r="G46" s="249"/>
      <c r="H46" s="247">
        <f>$G46*B46*150/100</f>
        <v>0</v>
      </c>
      <c r="I46" s="198">
        <f>$G46*C46*150/100</f>
        <v>0</v>
      </c>
      <c r="J46" s="198">
        <f>$G46*D46*150/100</f>
        <v>0</v>
      </c>
      <c r="K46" s="200">
        <f t="shared" ref="K46:K90" si="17">H46*16.7+I46*37.6+J46*16.7</f>
        <v>0</v>
      </c>
      <c r="L46" s="170">
        <f t="shared" si="8"/>
        <v>0</v>
      </c>
      <c r="M46" s="170">
        <f>$G46*F46*150/100</f>
        <v>0</v>
      </c>
      <c r="O46" s="48"/>
      <c r="P46" s="49"/>
      <c r="Q46" s="49"/>
      <c r="R46" s="49"/>
      <c r="S46" s="49"/>
      <c r="T46" s="48"/>
    </row>
    <row r="47" spans="1:20" x14ac:dyDescent="0.2">
      <c r="A47" s="201" t="s">
        <v>181</v>
      </c>
      <c r="B47" s="204">
        <v>75</v>
      </c>
      <c r="C47" s="204">
        <v>0.6</v>
      </c>
      <c r="D47" s="204">
        <v>2.2000000000000002</v>
      </c>
      <c r="E47" s="203">
        <v>1.6</v>
      </c>
      <c r="F47" s="245">
        <f t="shared" ref="F47:F110" si="18">100-B47-C47-E47-D47</f>
        <v>20.599999999999998</v>
      </c>
      <c r="G47" s="250"/>
      <c r="H47" s="248">
        <f>$G47*B47*15/100</f>
        <v>0</v>
      </c>
      <c r="I47" s="202">
        <f>$G47*C47*15/100</f>
        <v>0</v>
      </c>
      <c r="J47" s="202">
        <f>$G47*D47*15/100</f>
        <v>0</v>
      </c>
      <c r="K47" s="168">
        <f t="shared" si="17"/>
        <v>0</v>
      </c>
      <c r="L47" s="170">
        <f t="shared" si="8"/>
        <v>0</v>
      </c>
      <c r="M47" s="173">
        <f>$G47*F47*15/100</f>
        <v>0</v>
      </c>
      <c r="O47" s="48"/>
      <c r="P47" s="49"/>
      <c r="Q47" s="49"/>
      <c r="R47" s="49"/>
      <c r="S47" s="49"/>
      <c r="T47" s="48"/>
    </row>
    <row r="48" spans="1:20" x14ac:dyDescent="0.2">
      <c r="A48" s="201" t="s">
        <v>182</v>
      </c>
      <c r="B48" s="225">
        <v>62</v>
      </c>
      <c r="C48" s="225">
        <v>1</v>
      </c>
      <c r="D48" s="225">
        <v>4.3</v>
      </c>
      <c r="E48" s="203">
        <v>2</v>
      </c>
      <c r="F48" s="245">
        <f t="shared" si="18"/>
        <v>30.7</v>
      </c>
      <c r="G48" s="250"/>
      <c r="H48" s="248">
        <f t="shared" ref="H48:J49" si="19">$G48*B48*40/100</f>
        <v>0</v>
      </c>
      <c r="I48" s="202">
        <f t="shared" si="19"/>
        <v>0</v>
      </c>
      <c r="J48" s="202">
        <f t="shared" si="19"/>
        <v>0</v>
      </c>
      <c r="K48" s="168">
        <f t="shared" si="17"/>
        <v>0</v>
      </c>
      <c r="L48" s="170">
        <f t="shared" si="8"/>
        <v>0</v>
      </c>
      <c r="M48" s="173">
        <f>$G48*F48*40/100</f>
        <v>0</v>
      </c>
      <c r="O48" s="48"/>
      <c r="P48" s="49"/>
      <c r="Q48" s="49"/>
      <c r="R48" s="49"/>
      <c r="S48" s="49"/>
      <c r="T48" s="48"/>
    </row>
    <row r="49" spans="1:20" x14ac:dyDescent="0.2">
      <c r="A49" s="201" t="s">
        <v>119</v>
      </c>
      <c r="B49" s="225">
        <v>65</v>
      </c>
      <c r="C49" s="225">
        <v>0.5</v>
      </c>
      <c r="D49" s="225">
        <v>5</v>
      </c>
      <c r="E49" s="203">
        <v>2</v>
      </c>
      <c r="F49" s="245">
        <f t="shared" si="18"/>
        <v>27.5</v>
      </c>
      <c r="G49" s="250"/>
      <c r="H49" s="248">
        <f t="shared" si="19"/>
        <v>0</v>
      </c>
      <c r="I49" s="202">
        <f t="shared" si="19"/>
        <v>0</v>
      </c>
      <c r="J49" s="202">
        <f t="shared" si="19"/>
        <v>0</v>
      </c>
      <c r="K49" s="168">
        <f t="shared" si="17"/>
        <v>0</v>
      </c>
      <c r="L49" s="170">
        <f t="shared" si="8"/>
        <v>0</v>
      </c>
      <c r="M49" s="173">
        <f>$G49*F49*40/100</f>
        <v>0</v>
      </c>
      <c r="O49" s="48"/>
      <c r="P49" s="49"/>
      <c r="Q49" s="49"/>
      <c r="R49" s="49"/>
      <c r="S49" s="49"/>
      <c r="T49" s="48"/>
    </row>
    <row r="50" spans="1:20" x14ac:dyDescent="0.2">
      <c r="A50" s="161" t="s">
        <v>188</v>
      </c>
      <c r="B50" s="225">
        <v>21.5</v>
      </c>
      <c r="C50" s="225">
        <v>0.2</v>
      </c>
      <c r="D50" s="225">
        <v>0.5</v>
      </c>
      <c r="E50" s="203">
        <v>1.3</v>
      </c>
      <c r="F50" s="245">
        <f t="shared" si="18"/>
        <v>76.5</v>
      </c>
      <c r="G50" s="250"/>
      <c r="H50" s="248">
        <f>$G50*B50*120/100</f>
        <v>0</v>
      </c>
      <c r="I50" s="202">
        <f>$G50*C50*120/100</f>
        <v>0</v>
      </c>
      <c r="J50" s="202">
        <f>$G50*D50*120/100</f>
        <v>0</v>
      </c>
      <c r="K50" s="168">
        <f t="shared" si="17"/>
        <v>0</v>
      </c>
      <c r="L50" s="170">
        <f t="shared" si="8"/>
        <v>0</v>
      </c>
      <c r="M50" s="173">
        <f>$G50*F50*120/100</f>
        <v>0</v>
      </c>
      <c r="O50" s="48"/>
      <c r="P50" s="48"/>
      <c r="Q50" s="48"/>
      <c r="R50" s="48"/>
      <c r="S50" s="48"/>
      <c r="T50" s="48"/>
    </row>
    <row r="51" spans="1:20" x14ac:dyDescent="0.2">
      <c r="A51" s="161" t="s">
        <v>189</v>
      </c>
      <c r="B51" s="202">
        <v>11.2</v>
      </c>
      <c r="C51" s="202">
        <v>0.2</v>
      </c>
      <c r="D51" s="202">
        <v>0.8</v>
      </c>
      <c r="E51" s="203">
        <v>1.6</v>
      </c>
      <c r="F51" s="245">
        <f t="shared" si="18"/>
        <v>86.2</v>
      </c>
      <c r="G51" s="250"/>
      <c r="H51" s="248">
        <f>$G51*B51*60/100</f>
        <v>0</v>
      </c>
      <c r="I51" s="202">
        <f>$G51*C51*60/100</f>
        <v>0</v>
      </c>
      <c r="J51" s="202">
        <f>$G51*D51*60/100</f>
        <v>0</v>
      </c>
      <c r="K51" s="168">
        <f t="shared" si="17"/>
        <v>0</v>
      </c>
      <c r="L51" s="170">
        <f t="shared" si="8"/>
        <v>0</v>
      </c>
      <c r="M51" s="173">
        <f>$G51*F51*60/100</f>
        <v>0</v>
      </c>
    </row>
    <row r="52" spans="1:20" x14ac:dyDescent="0.2">
      <c r="A52" s="161" t="s">
        <v>249</v>
      </c>
      <c r="B52" s="225">
        <v>11.9</v>
      </c>
      <c r="C52" s="225">
        <v>0.2</v>
      </c>
      <c r="D52" s="225">
        <v>0.4</v>
      </c>
      <c r="E52" s="203">
        <v>1.5</v>
      </c>
      <c r="F52" s="245">
        <f t="shared" si="18"/>
        <v>85.999999999999986</v>
      </c>
      <c r="G52" s="250"/>
      <c r="H52" s="248">
        <f>$G52*B52*120/100</f>
        <v>0</v>
      </c>
      <c r="I52" s="202">
        <f>$G52*C52*120/100</f>
        <v>0</v>
      </c>
      <c r="J52" s="202">
        <f>$G52*D52*120/100</f>
        <v>0</v>
      </c>
      <c r="K52" s="168">
        <f t="shared" si="17"/>
        <v>0</v>
      </c>
      <c r="L52" s="170">
        <f t="shared" si="8"/>
        <v>0</v>
      </c>
      <c r="M52" s="173">
        <f>$G52*F52*120/100</f>
        <v>0</v>
      </c>
    </row>
    <row r="53" spans="1:20" x14ac:dyDescent="0.2">
      <c r="A53" s="201" t="s">
        <v>11</v>
      </c>
      <c r="B53" s="163">
        <v>20</v>
      </c>
      <c r="C53" s="163">
        <v>0.5</v>
      </c>
      <c r="D53" s="163">
        <v>1.4</v>
      </c>
      <c r="E53" s="163">
        <v>1.6</v>
      </c>
      <c r="F53" s="245">
        <f t="shared" si="18"/>
        <v>76.5</v>
      </c>
      <c r="G53" s="131">
        <v>1</v>
      </c>
      <c r="H53" s="166">
        <f t="shared" ref="H53:J54" si="20">$G53*B53*150/100</f>
        <v>30</v>
      </c>
      <c r="I53" s="167">
        <f t="shared" si="20"/>
        <v>0.75</v>
      </c>
      <c r="J53" s="167">
        <f t="shared" si="20"/>
        <v>2.1</v>
      </c>
      <c r="K53" s="168">
        <f t="shared" si="17"/>
        <v>564.2700000000001</v>
      </c>
      <c r="L53" s="170">
        <f t="shared" si="8"/>
        <v>1.6</v>
      </c>
      <c r="M53" s="173">
        <f>$G53*F53*150/100</f>
        <v>114.75</v>
      </c>
    </row>
    <row r="54" spans="1:20" x14ac:dyDescent="0.2">
      <c r="A54" s="161" t="s">
        <v>321</v>
      </c>
      <c r="B54" s="225">
        <v>15</v>
      </c>
      <c r="C54" s="225">
        <v>0.4</v>
      </c>
      <c r="D54" s="225">
        <v>1.1000000000000001</v>
      </c>
      <c r="E54" s="163">
        <v>1.6</v>
      </c>
      <c r="F54" s="245">
        <f t="shared" si="18"/>
        <v>81.900000000000006</v>
      </c>
      <c r="G54" s="250"/>
      <c r="H54" s="248">
        <f t="shared" si="20"/>
        <v>0</v>
      </c>
      <c r="I54" s="202">
        <f t="shared" si="20"/>
        <v>0</v>
      </c>
      <c r="J54" s="202">
        <f t="shared" si="20"/>
        <v>0</v>
      </c>
      <c r="K54" s="168">
        <f t="shared" si="17"/>
        <v>0</v>
      </c>
      <c r="L54" s="170">
        <f t="shared" si="8"/>
        <v>0</v>
      </c>
      <c r="M54" s="173">
        <f>$G54*F54*150/100</f>
        <v>0</v>
      </c>
    </row>
    <row r="55" spans="1:20" x14ac:dyDescent="0.2">
      <c r="A55" s="161" t="s">
        <v>250</v>
      </c>
      <c r="B55" s="225">
        <v>9.4</v>
      </c>
      <c r="C55" s="225">
        <v>0.2</v>
      </c>
      <c r="D55" s="225">
        <v>0.5</v>
      </c>
      <c r="E55" s="163">
        <v>1.7</v>
      </c>
      <c r="F55" s="245">
        <f t="shared" si="18"/>
        <v>88.199999999999989</v>
      </c>
      <c r="G55" s="250"/>
      <c r="H55" s="248">
        <f>$G55*B55*70/100</f>
        <v>0</v>
      </c>
      <c r="I55" s="202">
        <f>$G55*C55*70/100</f>
        <v>0</v>
      </c>
      <c r="J55" s="202">
        <f>$G55*D55*70/100</f>
        <v>0</v>
      </c>
      <c r="K55" s="168">
        <f t="shared" si="17"/>
        <v>0</v>
      </c>
      <c r="L55" s="170">
        <f t="shared" si="8"/>
        <v>0</v>
      </c>
      <c r="M55" s="173">
        <f>$G55*F55*70/100</f>
        <v>0</v>
      </c>
    </row>
    <row r="56" spans="1:20" x14ac:dyDescent="0.2">
      <c r="A56" s="201" t="s">
        <v>251</v>
      </c>
      <c r="B56" s="225">
        <v>19.2</v>
      </c>
      <c r="C56" s="225">
        <v>0.4</v>
      </c>
      <c r="D56" s="225">
        <v>0.8</v>
      </c>
      <c r="E56" s="163">
        <v>1.7</v>
      </c>
      <c r="F56" s="245">
        <f t="shared" si="18"/>
        <v>77.899999999999991</v>
      </c>
      <c r="G56" s="250"/>
      <c r="H56" s="248">
        <f>$G56*B56*40/100</f>
        <v>0</v>
      </c>
      <c r="I56" s="202">
        <f>$G56*C56*200/40</f>
        <v>0</v>
      </c>
      <c r="J56" s="202">
        <f>$G56*D56*200/40</f>
        <v>0</v>
      </c>
      <c r="K56" s="168">
        <f t="shared" si="17"/>
        <v>0</v>
      </c>
      <c r="L56" s="170">
        <f t="shared" si="8"/>
        <v>0</v>
      </c>
      <c r="M56" s="173">
        <f>$G56*F56*200/40</f>
        <v>0</v>
      </c>
    </row>
    <row r="57" spans="1:20" x14ac:dyDescent="0.2">
      <c r="A57" s="201" t="s">
        <v>322</v>
      </c>
      <c r="B57" s="163">
        <v>7.5</v>
      </c>
      <c r="C57" s="163">
        <v>0.6</v>
      </c>
      <c r="D57" s="163">
        <v>0.7</v>
      </c>
      <c r="E57" s="163">
        <v>1.3</v>
      </c>
      <c r="F57" s="245">
        <f t="shared" si="18"/>
        <v>89.9</v>
      </c>
      <c r="G57" s="131"/>
      <c r="H57" s="166">
        <f>$G57*B57*120/100</f>
        <v>0</v>
      </c>
      <c r="I57" s="167">
        <f>$G57*C57*120/100</f>
        <v>0</v>
      </c>
      <c r="J57" s="167">
        <f>$G57*D57*120/100</f>
        <v>0</v>
      </c>
      <c r="K57" s="168">
        <f t="shared" si="17"/>
        <v>0</v>
      </c>
      <c r="L57" s="170">
        <f t="shared" si="8"/>
        <v>0</v>
      </c>
      <c r="M57" s="173">
        <f>$G57*F57*120/100</f>
        <v>0</v>
      </c>
    </row>
    <row r="58" spans="1:20" x14ac:dyDescent="0.2">
      <c r="A58" s="201" t="s">
        <v>13</v>
      </c>
      <c r="B58" s="225">
        <v>11</v>
      </c>
      <c r="C58" s="225">
        <v>0.3</v>
      </c>
      <c r="D58" s="225">
        <v>0.7</v>
      </c>
      <c r="E58" s="163">
        <v>1.3</v>
      </c>
      <c r="F58" s="245">
        <f t="shared" si="18"/>
        <v>86.7</v>
      </c>
      <c r="G58" s="250"/>
      <c r="H58" s="248">
        <f>$G58*B58*70/100</f>
        <v>0</v>
      </c>
      <c r="I58" s="202">
        <f>$G58*C58*70/100</f>
        <v>0</v>
      </c>
      <c r="J58" s="202">
        <f>$G58*D58*70/100</f>
        <v>0</v>
      </c>
      <c r="K58" s="168">
        <f t="shared" si="17"/>
        <v>0</v>
      </c>
      <c r="L58" s="170">
        <f t="shared" si="8"/>
        <v>0</v>
      </c>
      <c r="M58" s="173">
        <f>$G58*F58*70/100</f>
        <v>0</v>
      </c>
    </row>
    <row r="59" spans="1:20" x14ac:dyDescent="0.2">
      <c r="A59" s="201" t="s">
        <v>286</v>
      </c>
      <c r="B59" s="225">
        <v>15.5</v>
      </c>
      <c r="C59" s="225">
        <v>0.5</v>
      </c>
      <c r="D59" s="225">
        <v>1</v>
      </c>
      <c r="E59" s="163">
        <v>1.3</v>
      </c>
      <c r="F59" s="245">
        <f t="shared" si="18"/>
        <v>81.7</v>
      </c>
      <c r="G59" s="250"/>
      <c r="H59" s="248">
        <f>$G59*B59*100/100</f>
        <v>0</v>
      </c>
      <c r="I59" s="202">
        <f>$G59*C59*100/100</f>
        <v>0</v>
      </c>
      <c r="J59" s="202">
        <f>$G59*D59*100/100</f>
        <v>0</v>
      </c>
      <c r="K59" s="168">
        <f t="shared" si="17"/>
        <v>0</v>
      </c>
      <c r="L59" s="170">
        <f t="shared" si="8"/>
        <v>0</v>
      </c>
      <c r="M59" s="173">
        <f>$G59*F59*100/100</f>
        <v>0</v>
      </c>
    </row>
    <row r="60" spans="1:20" x14ac:dyDescent="0.2">
      <c r="A60" s="201" t="s">
        <v>287</v>
      </c>
      <c r="B60" s="225">
        <v>13</v>
      </c>
      <c r="C60" s="225">
        <v>0.4</v>
      </c>
      <c r="D60" s="225">
        <v>1</v>
      </c>
      <c r="E60" s="163">
        <v>2</v>
      </c>
      <c r="F60" s="245">
        <f t="shared" si="18"/>
        <v>83.6</v>
      </c>
      <c r="G60" s="250"/>
      <c r="H60" s="248">
        <f>$G60*B60*200/100</f>
        <v>0</v>
      </c>
      <c r="I60" s="202">
        <f>$G60*C60*200/100</f>
        <v>0</v>
      </c>
      <c r="J60" s="202">
        <f>$G60*D60*200/100</f>
        <v>0</v>
      </c>
      <c r="K60" s="168">
        <f t="shared" si="17"/>
        <v>0</v>
      </c>
      <c r="L60" s="170">
        <f t="shared" si="8"/>
        <v>0</v>
      </c>
      <c r="M60" s="173">
        <f>$G60*F60*200/100</f>
        <v>0</v>
      </c>
    </row>
    <row r="61" spans="1:20" x14ac:dyDescent="0.2">
      <c r="A61" s="201" t="s">
        <v>288</v>
      </c>
      <c r="B61" s="163">
        <v>9</v>
      </c>
      <c r="C61" s="163">
        <v>0.2</v>
      </c>
      <c r="D61" s="163">
        <v>0.7</v>
      </c>
      <c r="E61" s="163">
        <v>2</v>
      </c>
      <c r="F61" s="245">
        <f t="shared" si="18"/>
        <v>88.1</v>
      </c>
      <c r="G61" s="131"/>
      <c r="H61" s="166">
        <f>$G61*B61*170/100</f>
        <v>0</v>
      </c>
      <c r="I61" s="167">
        <f>$G61*C61*170/100</f>
        <v>0</v>
      </c>
      <c r="J61" s="167">
        <f>$G61*D61*170/100</f>
        <v>0</v>
      </c>
      <c r="K61" s="168">
        <f t="shared" si="17"/>
        <v>0</v>
      </c>
      <c r="L61" s="170">
        <f t="shared" si="8"/>
        <v>0</v>
      </c>
      <c r="M61" s="173">
        <f>$G61*F61*170/100</f>
        <v>0</v>
      </c>
    </row>
    <row r="62" spans="1:20" x14ac:dyDescent="0.2">
      <c r="A62" s="201" t="s">
        <v>289</v>
      </c>
      <c r="B62" s="225">
        <v>9</v>
      </c>
      <c r="C62" s="225">
        <v>0.2</v>
      </c>
      <c r="D62" s="225">
        <v>0.6</v>
      </c>
      <c r="E62" s="203">
        <v>2</v>
      </c>
      <c r="F62" s="245">
        <f t="shared" si="18"/>
        <v>88.2</v>
      </c>
      <c r="G62" s="250"/>
      <c r="H62" s="248">
        <f>$G62*B62*140/100</f>
        <v>0</v>
      </c>
      <c r="I62" s="202">
        <f>$G62*C62*140/100</f>
        <v>0</v>
      </c>
      <c r="J62" s="202">
        <f>$G62*D62*140/100</f>
        <v>0</v>
      </c>
      <c r="K62" s="168">
        <f t="shared" si="17"/>
        <v>0</v>
      </c>
      <c r="L62" s="170">
        <f t="shared" si="8"/>
        <v>0</v>
      </c>
      <c r="M62" s="173">
        <f>$G62*F62*140/100</f>
        <v>0</v>
      </c>
    </row>
    <row r="63" spans="1:20" x14ac:dyDescent="0.2">
      <c r="A63" s="201" t="s">
        <v>290</v>
      </c>
      <c r="B63" s="163">
        <v>11</v>
      </c>
      <c r="C63" s="163">
        <v>0</v>
      </c>
      <c r="D63" s="163">
        <v>0.5</v>
      </c>
      <c r="E63" s="163">
        <v>1.6</v>
      </c>
      <c r="F63" s="245">
        <f t="shared" si="18"/>
        <v>86.9</v>
      </c>
      <c r="G63" s="131"/>
      <c r="H63" s="166">
        <f>$G63*B63*150/100</f>
        <v>0</v>
      </c>
      <c r="I63" s="167">
        <f>$G63*C63*150/100</f>
        <v>0</v>
      </c>
      <c r="J63" s="167">
        <f>$G63*D63*150/100</f>
        <v>0</v>
      </c>
      <c r="K63" s="168">
        <f t="shared" si="17"/>
        <v>0</v>
      </c>
      <c r="L63" s="170">
        <f t="shared" si="8"/>
        <v>0</v>
      </c>
      <c r="M63" s="173">
        <f>$G63*F63*150/100</f>
        <v>0</v>
      </c>
    </row>
    <row r="64" spans="1:20" x14ac:dyDescent="0.2">
      <c r="A64" s="201" t="s">
        <v>291</v>
      </c>
      <c r="B64" s="173">
        <v>15.8</v>
      </c>
      <c r="C64" s="173">
        <v>0.48</v>
      </c>
      <c r="D64" s="173">
        <v>0.7</v>
      </c>
      <c r="E64" s="163">
        <v>1.6</v>
      </c>
      <c r="F64" s="245">
        <f t="shared" si="18"/>
        <v>81.42</v>
      </c>
      <c r="G64" s="131"/>
      <c r="H64" s="166">
        <f>$G64*B64*180/100</f>
        <v>0</v>
      </c>
      <c r="I64" s="167">
        <f>$G64*C64*180/100</f>
        <v>0</v>
      </c>
      <c r="J64" s="167">
        <f>$G64*D64*180/100</f>
        <v>0</v>
      </c>
      <c r="K64" s="168">
        <f t="shared" si="17"/>
        <v>0</v>
      </c>
      <c r="L64" s="170">
        <f t="shared" si="8"/>
        <v>0</v>
      </c>
      <c r="M64" s="173">
        <f>$G64*F64*180/100</f>
        <v>0</v>
      </c>
    </row>
    <row r="65" spans="1:13" x14ac:dyDescent="0.2">
      <c r="A65" s="201" t="s">
        <v>292</v>
      </c>
      <c r="B65" s="163">
        <v>12</v>
      </c>
      <c r="C65" s="163">
        <v>0.35</v>
      </c>
      <c r="D65" s="163">
        <v>0.3</v>
      </c>
      <c r="E65" s="163">
        <v>1.6</v>
      </c>
      <c r="F65" s="245">
        <f t="shared" si="18"/>
        <v>85.750000000000014</v>
      </c>
      <c r="G65" s="131"/>
      <c r="H65" s="166">
        <f>$G65*B65*160/100</f>
        <v>0</v>
      </c>
      <c r="I65" s="167">
        <f>$G65*C65*160/100</f>
        <v>0</v>
      </c>
      <c r="J65" s="167">
        <f>$G65*D65*160/100</f>
        <v>0</v>
      </c>
      <c r="K65" s="168">
        <f t="shared" si="17"/>
        <v>0</v>
      </c>
      <c r="L65" s="170">
        <f t="shared" si="8"/>
        <v>0</v>
      </c>
      <c r="M65" s="173">
        <f>$G65*F65*160/100</f>
        <v>0</v>
      </c>
    </row>
    <row r="66" spans="1:13" x14ac:dyDescent="0.2">
      <c r="A66" s="201" t="s">
        <v>293</v>
      </c>
      <c r="B66" s="225">
        <v>16</v>
      </c>
      <c r="C66" s="225">
        <v>0.7</v>
      </c>
      <c r="D66" s="225">
        <v>0.9</v>
      </c>
      <c r="E66" s="163">
        <v>1.6</v>
      </c>
      <c r="F66" s="245">
        <f t="shared" si="18"/>
        <v>80.8</v>
      </c>
      <c r="G66" s="250">
        <v>2</v>
      </c>
      <c r="H66" s="248">
        <f>$G66*B66*80/100</f>
        <v>25.6</v>
      </c>
      <c r="I66" s="202">
        <f>$G66*C66*80/100</f>
        <v>1.1200000000000001</v>
      </c>
      <c r="J66" s="202">
        <f>$G66*D66*80/100</f>
        <v>1.44</v>
      </c>
      <c r="K66" s="168">
        <f t="shared" si="17"/>
        <v>493.68</v>
      </c>
      <c r="L66" s="170">
        <f t="shared" si="8"/>
        <v>3.2</v>
      </c>
      <c r="M66" s="173">
        <f>$G66*F66*80/100</f>
        <v>129.28</v>
      </c>
    </row>
    <row r="67" spans="1:13" x14ac:dyDescent="0.2">
      <c r="A67" s="161" t="s">
        <v>294</v>
      </c>
      <c r="B67" s="202">
        <v>7.5</v>
      </c>
      <c r="C67" s="202">
        <v>19</v>
      </c>
      <c r="D67" s="202">
        <v>1.8</v>
      </c>
      <c r="E67" s="203">
        <v>1</v>
      </c>
      <c r="F67" s="245">
        <f t="shared" si="18"/>
        <v>70.7</v>
      </c>
      <c r="G67" s="250"/>
      <c r="H67" s="248">
        <f>$G67*B67*110/100</f>
        <v>0</v>
      </c>
      <c r="I67" s="202">
        <f>$G67*C67*110/100</f>
        <v>0</v>
      </c>
      <c r="J67" s="202">
        <f>$G67*D67*110/100</f>
        <v>0</v>
      </c>
      <c r="K67" s="168">
        <f t="shared" si="17"/>
        <v>0</v>
      </c>
      <c r="L67" s="170">
        <f t="shared" si="8"/>
        <v>0</v>
      </c>
      <c r="M67" s="173">
        <f>$G67*F67*110/100</f>
        <v>0</v>
      </c>
    </row>
    <row r="68" spans="1:13" x14ac:dyDescent="0.2">
      <c r="A68" s="161" t="s">
        <v>295</v>
      </c>
      <c r="B68" s="225">
        <v>4.5</v>
      </c>
      <c r="C68" s="225">
        <v>0.3</v>
      </c>
      <c r="D68" s="225">
        <v>2.2000000000000002</v>
      </c>
      <c r="E68" s="203">
        <v>1.2</v>
      </c>
      <c r="F68" s="245">
        <f t="shared" si="18"/>
        <v>91.8</v>
      </c>
      <c r="G68" s="250">
        <v>2</v>
      </c>
      <c r="H68" s="248">
        <f>$G68*B68*100/100</f>
        <v>9</v>
      </c>
      <c r="I68" s="202">
        <f>$G68*C68*100/100</f>
        <v>0.6</v>
      </c>
      <c r="J68" s="202">
        <f>$G68*D68*100/100</f>
        <v>4.4000000000000004</v>
      </c>
      <c r="K68" s="168">
        <f t="shared" si="17"/>
        <v>246.33999999999997</v>
      </c>
      <c r="L68" s="170">
        <f t="shared" si="8"/>
        <v>2.4</v>
      </c>
      <c r="M68" s="173">
        <f>$G68*F68*100/100</f>
        <v>183.6</v>
      </c>
    </row>
    <row r="69" spans="1:13" x14ac:dyDescent="0.2">
      <c r="A69" s="201" t="s">
        <v>280</v>
      </c>
      <c r="B69" s="202">
        <v>2</v>
      </c>
      <c r="C69" s="202">
        <v>4</v>
      </c>
      <c r="D69" s="202">
        <v>3.3</v>
      </c>
      <c r="E69" s="203"/>
      <c r="F69" s="245">
        <f t="shared" si="18"/>
        <v>90.7</v>
      </c>
      <c r="G69" s="250"/>
      <c r="H69" s="248">
        <f>$G69*B69*30/100</f>
        <v>0</v>
      </c>
      <c r="I69" s="202">
        <f>$G69*C69*30/100</f>
        <v>0</v>
      </c>
      <c r="J69" s="202">
        <f>$G69*D69*30/100</f>
        <v>0</v>
      </c>
      <c r="K69" s="168">
        <f t="shared" si="17"/>
        <v>0</v>
      </c>
      <c r="L69" s="170">
        <f t="shared" si="8"/>
        <v>0</v>
      </c>
      <c r="M69" s="202">
        <f>$G69*F69*30/100</f>
        <v>0</v>
      </c>
    </row>
    <row r="70" spans="1:13" x14ac:dyDescent="0.2">
      <c r="A70" s="201" t="s">
        <v>200</v>
      </c>
      <c r="B70" s="225">
        <v>37</v>
      </c>
      <c r="C70" s="225">
        <v>1.5</v>
      </c>
      <c r="D70" s="225">
        <v>15</v>
      </c>
      <c r="E70" s="203"/>
      <c r="F70" s="245">
        <f t="shared" si="18"/>
        <v>46.5</v>
      </c>
      <c r="G70" s="250"/>
      <c r="H70" s="248">
        <f>$G70*B70*200/100</f>
        <v>0</v>
      </c>
      <c r="I70" s="202">
        <f>$G70*C70*200/100</f>
        <v>0</v>
      </c>
      <c r="J70" s="202">
        <f>$G70*D70*200/100</f>
        <v>0</v>
      </c>
      <c r="K70" s="168">
        <f t="shared" si="17"/>
        <v>0</v>
      </c>
      <c r="L70" s="170">
        <f t="shared" si="8"/>
        <v>0</v>
      </c>
      <c r="M70" s="173">
        <f>$G70*F70*200/100</f>
        <v>0</v>
      </c>
    </row>
    <row r="71" spans="1:13" x14ac:dyDescent="0.2">
      <c r="A71" s="201" t="s">
        <v>201</v>
      </c>
      <c r="B71" s="225">
        <v>54.3</v>
      </c>
      <c r="C71" s="225">
        <v>4.9000000000000004</v>
      </c>
      <c r="D71" s="225">
        <v>21.8</v>
      </c>
      <c r="E71" s="203">
        <v>13.8</v>
      </c>
      <c r="F71" s="245">
        <f t="shared" si="18"/>
        <v>5.2000000000000028</v>
      </c>
      <c r="G71" s="250"/>
      <c r="H71" s="248">
        <f>$G71*B71*120/100</f>
        <v>0</v>
      </c>
      <c r="I71" s="202">
        <f>$G71*C71*120/100</f>
        <v>0</v>
      </c>
      <c r="J71" s="202">
        <f>$G71*D71*120/100</f>
        <v>0</v>
      </c>
      <c r="K71" s="168">
        <f t="shared" si="17"/>
        <v>0</v>
      </c>
      <c r="L71" s="170">
        <f t="shared" si="8"/>
        <v>0</v>
      </c>
      <c r="M71" s="173">
        <f>$G71*F71*200/100</f>
        <v>0</v>
      </c>
    </row>
    <row r="72" spans="1:13" x14ac:dyDescent="0.2">
      <c r="A72" s="201" t="s">
        <v>203</v>
      </c>
      <c r="B72" s="202">
        <v>20</v>
      </c>
      <c r="C72" s="202">
        <v>0.4</v>
      </c>
      <c r="D72" s="202">
        <v>8.9</v>
      </c>
      <c r="E72" s="203">
        <v>6</v>
      </c>
      <c r="F72" s="245">
        <f t="shared" si="18"/>
        <v>64.699999999999989</v>
      </c>
      <c r="G72" s="250"/>
      <c r="H72" s="248">
        <f t="shared" ref="H72:J73" si="21">$G72*B72*200/100</f>
        <v>0</v>
      </c>
      <c r="I72" s="202">
        <f t="shared" si="21"/>
        <v>0</v>
      </c>
      <c r="J72" s="202">
        <f t="shared" si="21"/>
        <v>0</v>
      </c>
      <c r="K72" s="168">
        <f>H72*16.7+I72*37.6+J72*16.7</f>
        <v>0</v>
      </c>
      <c r="L72" s="170">
        <f t="shared" si="8"/>
        <v>0</v>
      </c>
      <c r="M72" s="173">
        <f>$G72*F72*200/100</f>
        <v>0</v>
      </c>
    </row>
    <row r="73" spans="1:13" x14ac:dyDescent="0.2">
      <c r="A73" s="201" t="s">
        <v>302</v>
      </c>
      <c r="B73" s="202">
        <v>15</v>
      </c>
      <c r="C73" s="202">
        <v>0.5</v>
      </c>
      <c r="D73" s="202">
        <v>6.5</v>
      </c>
      <c r="E73" s="203">
        <v>3</v>
      </c>
      <c r="F73" s="245">
        <f t="shared" si="18"/>
        <v>75</v>
      </c>
      <c r="G73" s="250"/>
      <c r="H73" s="248">
        <f t="shared" si="21"/>
        <v>0</v>
      </c>
      <c r="I73" s="202">
        <f t="shared" si="21"/>
        <v>0</v>
      </c>
      <c r="J73" s="202">
        <f t="shared" si="21"/>
        <v>0</v>
      </c>
      <c r="K73" s="168">
        <f>H73*16.7+I73*37.6+J73*16.7</f>
        <v>0</v>
      </c>
      <c r="L73" s="170">
        <f t="shared" si="8"/>
        <v>0</v>
      </c>
      <c r="M73" s="173">
        <f>$G73*F73*200/100</f>
        <v>0</v>
      </c>
    </row>
    <row r="74" spans="1:13" x14ac:dyDescent="0.2">
      <c r="A74" s="161" t="s">
        <v>336</v>
      </c>
      <c r="B74" s="225">
        <v>8.5</v>
      </c>
      <c r="C74" s="225">
        <v>0.2</v>
      </c>
      <c r="D74" s="225">
        <v>1.1000000000000001</v>
      </c>
      <c r="E74" s="203">
        <v>2</v>
      </c>
      <c r="F74" s="245">
        <f t="shared" si="18"/>
        <v>88.2</v>
      </c>
      <c r="G74" s="250"/>
      <c r="H74" s="248">
        <f t="shared" ref="H74:J75" si="22">$G74*B74*110/100</f>
        <v>0</v>
      </c>
      <c r="I74" s="202">
        <f t="shared" si="22"/>
        <v>0</v>
      </c>
      <c r="J74" s="202">
        <f t="shared" si="22"/>
        <v>0</v>
      </c>
      <c r="K74" s="168">
        <f t="shared" si="17"/>
        <v>0</v>
      </c>
      <c r="L74" s="170">
        <f t="shared" si="8"/>
        <v>0</v>
      </c>
      <c r="M74" s="173">
        <f>$G74*F74*110/100</f>
        <v>0</v>
      </c>
    </row>
    <row r="75" spans="1:13" x14ac:dyDescent="0.2">
      <c r="A75" s="161" t="s">
        <v>337</v>
      </c>
      <c r="B75" s="225">
        <v>8.5</v>
      </c>
      <c r="C75" s="225">
        <v>8</v>
      </c>
      <c r="D75" s="225">
        <v>2</v>
      </c>
      <c r="E75" s="203">
        <v>1.5</v>
      </c>
      <c r="F75" s="245">
        <f t="shared" si="18"/>
        <v>80</v>
      </c>
      <c r="G75" s="250"/>
      <c r="H75" s="248">
        <f t="shared" si="22"/>
        <v>0</v>
      </c>
      <c r="I75" s="202">
        <f t="shared" si="22"/>
        <v>0</v>
      </c>
      <c r="J75" s="202">
        <f t="shared" si="22"/>
        <v>0</v>
      </c>
      <c r="K75" s="168">
        <f t="shared" si="17"/>
        <v>0</v>
      </c>
      <c r="L75" s="170">
        <f t="shared" si="8"/>
        <v>0</v>
      </c>
      <c r="M75" s="173">
        <f>$G75*F75*110/100</f>
        <v>0</v>
      </c>
    </row>
    <row r="76" spans="1:13" x14ac:dyDescent="0.2">
      <c r="A76" s="201" t="s">
        <v>296</v>
      </c>
      <c r="B76" s="202">
        <v>2.6</v>
      </c>
      <c r="C76" s="202">
        <v>0.1</v>
      </c>
      <c r="D76" s="202">
        <v>1.3</v>
      </c>
      <c r="E76" s="203">
        <v>2</v>
      </c>
      <c r="F76" s="245">
        <f t="shared" si="18"/>
        <v>94.000000000000014</v>
      </c>
      <c r="G76" s="250"/>
      <c r="H76" s="248">
        <f t="shared" ref="H76:J77" si="23">$G76*B76*80/100</f>
        <v>0</v>
      </c>
      <c r="I76" s="202">
        <f t="shared" si="23"/>
        <v>0</v>
      </c>
      <c r="J76" s="202">
        <f t="shared" si="23"/>
        <v>0</v>
      </c>
      <c r="K76" s="168">
        <f t="shared" si="17"/>
        <v>0</v>
      </c>
      <c r="L76" s="170">
        <f t="shared" si="8"/>
        <v>0</v>
      </c>
      <c r="M76" s="173">
        <f>$G76*F76*80/100</f>
        <v>0</v>
      </c>
    </row>
    <row r="77" spans="1:13" x14ac:dyDescent="0.2">
      <c r="A77" s="201" t="s">
        <v>297</v>
      </c>
      <c r="B77" s="202">
        <v>2.6</v>
      </c>
      <c r="C77" s="202">
        <v>4</v>
      </c>
      <c r="D77" s="202">
        <v>1.8</v>
      </c>
      <c r="E77" s="203">
        <v>2</v>
      </c>
      <c r="F77" s="245">
        <f t="shared" si="18"/>
        <v>89.600000000000009</v>
      </c>
      <c r="G77" s="250">
        <v>1</v>
      </c>
      <c r="H77" s="248">
        <f t="shared" si="23"/>
        <v>2.08</v>
      </c>
      <c r="I77" s="202">
        <f t="shared" si="23"/>
        <v>3.2</v>
      </c>
      <c r="J77" s="202">
        <f t="shared" si="23"/>
        <v>1.44</v>
      </c>
      <c r="K77" s="168">
        <f t="shared" si="17"/>
        <v>179.10400000000001</v>
      </c>
      <c r="L77" s="170">
        <f t="shared" si="8"/>
        <v>2</v>
      </c>
      <c r="M77" s="173">
        <f>$G77*F77*80/100</f>
        <v>71.680000000000007</v>
      </c>
    </row>
    <row r="78" spans="1:13" x14ac:dyDescent="0.2">
      <c r="A78" s="201" t="s">
        <v>298</v>
      </c>
      <c r="B78" s="202">
        <v>3.7</v>
      </c>
      <c r="C78" s="202">
        <v>0.3</v>
      </c>
      <c r="D78" s="202">
        <v>1</v>
      </c>
      <c r="E78" s="203">
        <v>2</v>
      </c>
      <c r="F78" s="245">
        <f t="shared" si="18"/>
        <v>93</v>
      </c>
      <c r="G78" s="250">
        <v>2</v>
      </c>
      <c r="H78" s="248">
        <f>$G78*B78*120/100</f>
        <v>8.8800000000000008</v>
      </c>
      <c r="I78" s="202">
        <f>$G78*C78*120/100</f>
        <v>0.72</v>
      </c>
      <c r="J78" s="202">
        <f>$G78*D78*120/100</f>
        <v>2.4</v>
      </c>
      <c r="K78" s="168">
        <f t="shared" si="17"/>
        <v>215.44800000000004</v>
      </c>
      <c r="L78" s="170">
        <f t="shared" si="8"/>
        <v>4</v>
      </c>
      <c r="M78" s="173">
        <f>$G78*F78*120/100</f>
        <v>223.2</v>
      </c>
    </row>
    <row r="79" spans="1:13" x14ac:dyDescent="0.2">
      <c r="A79" s="201" t="s">
        <v>309</v>
      </c>
      <c r="B79" s="225">
        <v>8</v>
      </c>
      <c r="C79" s="225">
        <v>0.4</v>
      </c>
      <c r="D79" s="225">
        <v>1.5</v>
      </c>
      <c r="E79" s="203">
        <v>2</v>
      </c>
      <c r="F79" s="245">
        <f t="shared" si="18"/>
        <v>88.1</v>
      </c>
      <c r="G79" s="250"/>
      <c r="H79" s="248">
        <f t="shared" ref="H79:J84" si="24">$G79*B79*200/100</f>
        <v>0</v>
      </c>
      <c r="I79" s="202">
        <f t="shared" si="24"/>
        <v>0</v>
      </c>
      <c r="J79" s="202">
        <f t="shared" si="24"/>
        <v>0</v>
      </c>
      <c r="K79" s="168">
        <f t="shared" si="17"/>
        <v>0</v>
      </c>
      <c r="L79" s="170">
        <f t="shared" si="8"/>
        <v>0</v>
      </c>
      <c r="M79" s="173">
        <f t="shared" ref="M79:M84" si="25">$G79*F79*200/100</f>
        <v>0</v>
      </c>
    </row>
    <row r="80" spans="1:13" x14ac:dyDescent="0.2">
      <c r="A80" s="201" t="s">
        <v>300</v>
      </c>
      <c r="B80" s="225">
        <v>6.5</v>
      </c>
      <c r="C80" s="225">
        <v>0.2</v>
      </c>
      <c r="D80" s="225">
        <v>1.3</v>
      </c>
      <c r="E80" s="203">
        <v>2</v>
      </c>
      <c r="F80" s="245">
        <f t="shared" si="18"/>
        <v>90</v>
      </c>
      <c r="G80" s="250"/>
      <c r="H80" s="248">
        <f t="shared" si="24"/>
        <v>0</v>
      </c>
      <c r="I80" s="202">
        <f t="shared" si="24"/>
        <v>0</v>
      </c>
      <c r="J80" s="202">
        <f t="shared" si="24"/>
        <v>0</v>
      </c>
      <c r="K80" s="168">
        <f t="shared" si="17"/>
        <v>0</v>
      </c>
      <c r="L80" s="170">
        <f t="shared" si="8"/>
        <v>0</v>
      </c>
      <c r="M80" s="173">
        <f t="shared" si="25"/>
        <v>0</v>
      </c>
    </row>
    <row r="81" spans="1:20" x14ac:dyDescent="0.2">
      <c r="A81" s="201" t="s">
        <v>301</v>
      </c>
      <c r="B81" s="202">
        <v>4</v>
      </c>
      <c r="C81" s="202">
        <v>0.2</v>
      </c>
      <c r="D81" s="202">
        <v>2.2999999999999998</v>
      </c>
      <c r="E81" s="203">
        <v>2.5</v>
      </c>
      <c r="F81" s="245">
        <f t="shared" si="18"/>
        <v>91</v>
      </c>
      <c r="G81" s="250"/>
      <c r="H81" s="248">
        <f t="shared" si="24"/>
        <v>0</v>
      </c>
      <c r="I81" s="202">
        <f t="shared" si="24"/>
        <v>0</v>
      </c>
      <c r="J81" s="202">
        <f t="shared" si="24"/>
        <v>0</v>
      </c>
      <c r="K81" s="168">
        <f t="shared" si="17"/>
        <v>0</v>
      </c>
      <c r="L81" s="170">
        <f t="shared" si="8"/>
        <v>0</v>
      </c>
      <c r="M81" s="173">
        <f t="shared" si="25"/>
        <v>0</v>
      </c>
    </row>
    <row r="82" spans="1:20" x14ac:dyDescent="0.2">
      <c r="A82" s="201" t="s">
        <v>325</v>
      </c>
      <c r="B82" s="225">
        <v>4</v>
      </c>
      <c r="C82" s="225">
        <v>0.2</v>
      </c>
      <c r="D82" s="225">
        <v>1.5</v>
      </c>
      <c r="E82" s="203">
        <v>2</v>
      </c>
      <c r="F82" s="245">
        <f t="shared" si="18"/>
        <v>92.3</v>
      </c>
      <c r="G82" s="250"/>
      <c r="H82" s="248">
        <f t="shared" si="24"/>
        <v>0</v>
      </c>
      <c r="I82" s="202">
        <f t="shared" si="24"/>
        <v>0</v>
      </c>
      <c r="J82" s="202">
        <f t="shared" si="24"/>
        <v>0</v>
      </c>
      <c r="K82" s="168">
        <f t="shared" si="17"/>
        <v>0</v>
      </c>
      <c r="L82" s="170">
        <f t="shared" si="8"/>
        <v>0</v>
      </c>
      <c r="M82" s="173">
        <f t="shared" si="25"/>
        <v>0</v>
      </c>
    </row>
    <row r="83" spans="1:20" x14ac:dyDescent="0.2">
      <c r="A83" s="201" t="s">
        <v>303</v>
      </c>
      <c r="B83" s="202">
        <v>6</v>
      </c>
      <c r="C83" s="202">
        <v>0.2</v>
      </c>
      <c r="D83" s="202">
        <v>2.2999999999999998</v>
      </c>
      <c r="E83" s="203">
        <v>2</v>
      </c>
      <c r="F83" s="245">
        <f t="shared" si="18"/>
        <v>89.5</v>
      </c>
      <c r="G83" s="250"/>
      <c r="H83" s="248">
        <f t="shared" si="24"/>
        <v>0</v>
      </c>
      <c r="I83" s="202">
        <f t="shared" si="24"/>
        <v>0</v>
      </c>
      <c r="J83" s="202">
        <f t="shared" si="24"/>
        <v>0</v>
      </c>
      <c r="K83" s="168">
        <f t="shared" si="17"/>
        <v>0</v>
      </c>
      <c r="L83" s="170">
        <f t="shared" si="8"/>
        <v>0</v>
      </c>
      <c r="M83" s="173">
        <f t="shared" si="25"/>
        <v>0</v>
      </c>
    </row>
    <row r="84" spans="1:20" x14ac:dyDescent="0.2">
      <c r="A84" s="201" t="s">
        <v>304</v>
      </c>
      <c r="B84" s="202">
        <v>5</v>
      </c>
      <c r="C84" s="202">
        <v>4.5</v>
      </c>
      <c r="D84" s="202">
        <v>1.3</v>
      </c>
      <c r="E84" s="203">
        <v>2</v>
      </c>
      <c r="F84" s="245">
        <f t="shared" si="18"/>
        <v>87.2</v>
      </c>
      <c r="G84" s="250"/>
      <c r="H84" s="248">
        <f t="shared" si="24"/>
        <v>0</v>
      </c>
      <c r="I84" s="202">
        <f t="shared" si="24"/>
        <v>0</v>
      </c>
      <c r="J84" s="202">
        <f t="shared" si="24"/>
        <v>0</v>
      </c>
      <c r="K84" s="168">
        <f t="shared" si="17"/>
        <v>0</v>
      </c>
      <c r="L84" s="170">
        <f t="shared" si="8"/>
        <v>0</v>
      </c>
      <c r="M84" s="173">
        <f t="shared" si="25"/>
        <v>0</v>
      </c>
    </row>
    <row r="85" spans="1:20" x14ac:dyDescent="0.2">
      <c r="A85" s="201" t="s">
        <v>305</v>
      </c>
      <c r="B85" s="204">
        <v>3.9</v>
      </c>
      <c r="C85" s="204">
        <v>0.1</v>
      </c>
      <c r="D85" s="204">
        <v>1.1000000000000001</v>
      </c>
      <c r="E85" s="203">
        <v>2</v>
      </c>
      <c r="F85" s="245">
        <f t="shared" si="18"/>
        <v>92.9</v>
      </c>
      <c r="G85" s="250"/>
      <c r="H85" s="248">
        <f t="shared" ref="H85:J86" si="26">$G85*B85*70/100</f>
        <v>0</v>
      </c>
      <c r="I85" s="202">
        <f t="shared" si="26"/>
        <v>0</v>
      </c>
      <c r="J85" s="202">
        <f t="shared" si="26"/>
        <v>0</v>
      </c>
      <c r="K85" s="168">
        <f t="shared" si="17"/>
        <v>0</v>
      </c>
      <c r="L85" s="170">
        <f t="shared" si="8"/>
        <v>0</v>
      </c>
      <c r="M85" s="173">
        <f>$G85*F85*70/100</f>
        <v>0</v>
      </c>
    </row>
    <row r="86" spans="1:20" x14ac:dyDescent="0.2">
      <c r="A86" s="201" t="s">
        <v>306</v>
      </c>
      <c r="B86" s="204">
        <v>3</v>
      </c>
      <c r="C86" s="204">
        <v>4</v>
      </c>
      <c r="D86" s="204">
        <v>0.6</v>
      </c>
      <c r="E86" s="203">
        <v>1.6</v>
      </c>
      <c r="F86" s="245">
        <f t="shared" si="18"/>
        <v>90.800000000000011</v>
      </c>
      <c r="G86" s="250"/>
      <c r="H86" s="248">
        <f t="shared" si="26"/>
        <v>0</v>
      </c>
      <c r="I86" s="202">
        <f t="shared" si="26"/>
        <v>0</v>
      </c>
      <c r="J86" s="202">
        <f t="shared" si="26"/>
        <v>0</v>
      </c>
      <c r="K86" s="168">
        <f t="shared" si="17"/>
        <v>0</v>
      </c>
      <c r="L86" s="170">
        <f t="shared" si="8"/>
        <v>0</v>
      </c>
      <c r="M86" s="173">
        <f>$G86*F86*70/100</f>
        <v>0</v>
      </c>
    </row>
    <row r="87" spans="1:20" x14ac:dyDescent="0.2">
      <c r="A87" s="201" t="s">
        <v>307</v>
      </c>
      <c r="B87" s="202">
        <v>3.9</v>
      </c>
      <c r="C87" s="202">
        <v>0.2</v>
      </c>
      <c r="D87" s="202">
        <v>2.2000000000000002</v>
      </c>
      <c r="E87" s="203">
        <v>1.8</v>
      </c>
      <c r="F87" s="245">
        <f t="shared" si="18"/>
        <v>91.899999999999991</v>
      </c>
      <c r="G87" s="250"/>
      <c r="H87" s="248">
        <f t="shared" ref="H87:J88" si="27">$G87*B87*150/100</f>
        <v>0</v>
      </c>
      <c r="I87" s="202">
        <f t="shared" si="27"/>
        <v>0</v>
      </c>
      <c r="J87" s="202">
        <f t="shared" si="27"/>
        <v>0</v>
      </c>
      <c r="K87" s="168">
        <f t="shared" si="17"/>
        <v>0</v>
      </c>
      <c r="L87" s="170">
        <f t="shared" ref="L87:L150" si="28">$G87*E87*100/100</f>
        <v>0</v>
      </c>
      <c r="M87" s="173">
        <f>$G87*F87*150/100</f>
        <v>0</v>
      </c>
    </row>
    <row r="88" spans="1:20" s="194" customFormat="1" x14ac:dyDescent="0.2">
      <c r="A88" s="201" t="s">
        <v>323</v>
      </c>
      <c r="B88" s="202">
        <v>3.9</v>
      </c>
      <c r="C88" s="202">
        <v>5</v>
      </c>
      <c r="D88" s="202">
        <v>3</v>
      </c>
      <c r="E88" s="203">
        <v>1.6</v>
      </c>
      <c r="F88" s="245">
        <f t="shared" si="18"/>
        <v>86.5</v>
      </c>
      <c r="G88" s="250"/>
      <c r="H88" s="248">
        <f t="shared" si="27"/>
        <v>0</v>
      </c>
      <c r="I88" s="202">
        <f t="shared" si="27"/>
        <v>0</v>
      </c>
      <c r="J88" s="202">
        <f t="shared" si="27"/>
        <v>0</v>
      </c>
      <c r="K88" s="168">
        <f t="shared" si="17"/>
        <v>0</v>
      </c>
      <c r="L88" s="170">
        <f t="shared" si="28"/>
        <v>0</v>
      </c>
      <c r="M88" s="173">
        <f>$G88*F88*150/100</f>
        <v>0</v>
      </c>
      <c r="N88" s="193"/>
      <c r="O88" s="196"/>
      <c r="P88" s="196"/>
      <c r="Q88" s="196"/>
      <c r="R88" s="196"/>
      <c r="S88" s="196"/>
      <c r="T88" s="196"/>
    </row>
    <row r="89" spans="1:20" x14ac:dyDescent="0.2">
      <c r="A89" s="201" t="s">
        <v>308</v>
      </c>
      <c r="B89" s="202">
        <v>8.4</v>
      </c>
      <c r="C89" s="202">
        <v>0.2</v>
      </c>
      <c r="D89" s="202">
        <v>0.8</v>
      </c>
      <c r="E89" s="203">
        <v>2</v>
      </c>
      <c r="F89" s="245">
        <f t="shared" si="18"/>
        <v>88.6</v>
      </c>
      <c r="G89" s="250"/>
      <c r="H89" s="248">
        <f t="shared" ref="H89:J90" si="29">$G89*B89*200/100</f>
        <v>0</v>
      </c>
      <c r="I89" s="202">
        <f t="shared" si="29"/>
        <v>0</v>
      </c>
      <c r="J89" s="202">
        <f t="shared" si="29"/>
        <v>0</v>
      </c>
      <c r="K89" s="168">
        <f t="shared" si="17"/>
        <v>0</v>
      </c>
      <c r="L89" s="170">
        <f t="shared" si="28"/>
        <v>0</v>
      </c>
      <c r="M89" s="173">
        <f>$G89*F89*200/100</f>
        <v>0</v>
      </c>
    </row>
    <row r="90" spans="1:20" ht="13.5" thickBot="1" x14ac:dyDescent="0.25">
      <c r="A90" s="232" t="s">
        <v>299</v>
      </c>
      <c r="B90" s="229">
        <v>4.9000000000000004</v>
      </c>
      <c r="C90" s="229">
        <v>0.2</v>
      </c>
      <c r="D90" s="229">
        <v>2.4</v>
      </c>
      <c r="E90" s="228">
        <v>2</v>
      </c>
      <c r="F90" s="245">
        <f t="shared" si="18"/>
        <v>90.499999999999986</v>
      </c>
      <c r="G90" s="251"/>
      <c r="H90" s="254">
        <f t="shared" si="29"/>
        <v>0</v>
      </c>
      <c r="I90" s="229">
        <f t="shared" si="29"/>
        <v>0</v>
      </c>
      <c r="J90" s="229">
        <f t="shared" si="29"/>
        <v>0</v>
      </c>
      <c r="K90" s="230">
        <f t="shared" si="17"/>
        <v>0</v>
      </c>
      <c r="L90" s="170">
        <f t="shared" si="28"/>
        <v>0</v>
      </c>
      <c r="M90" s="176">
        <f>$G90*F90*200/100</f>
        <v>0</v>
      </c>
    </row>
    <row r="91" spans="1:20" ht="18" customHeight="1" thickBot="1" x14ac:dyDescent="0.25">
      <c r="A91" s="210" t="s">
        <v>357</v>
      </c>
      <c r="B91" s="211"/>
      <c r="C91" s="211"/>
      <c r="D91" s="211"/>
      <c r="E91" s="207"/>
      <c r="F91" s="211"/>
      <c r="G91" s="208"/>
      <c r="H91" s="211"/>
      <c r="I91" s="211"/>
      <c r="J91" s="211"/>
      <c r="K91" s="211"/>
      <c r="L91" s="211"/>
      <c r="M91" s="209"/>
    </row>
    <row r="92" spans="1:20" ht="12" customHeight="1" x14ac:dyDescent="0.2">
      <c r="A92" s="197" t="s">
        <v>253</v>
      </c>
      <c r="B92" s="170">
        <v>80</v>
      </c>
      <c r="C92" s="170">
        <v>15</v>
      </c>
      <c r="D92" s="170">
        <v>4.5</v>
      </c>
      <c r="E92" s="170">
        <v>0.5</v>
      </c>
      <c r="F92" s="245">
        <f t="shared" si="18"/>
        <v>0</v>
      </c>
      <c r="G92" s="255"/>
      <c r="H92" s="253">
        <f>$G92*B92*160/100</f>
        <v>0</v>
      </c>
      <c r="I92" s="233">
        <f>$G92*C92*160/100</f>
        <v>0</v>
      </c>
      <c r="J92" s="233">
        <f>$G92*D92*160/100</f>
        <v>0</v>
      </c>
      <c r="K92" s="200">
        <f t="shared" ref="K92:K104" si="30">H92*16.7+I92*37.6+J92*16.7</f>
        <v>0</v>
      </c>
      <c r="L92" s="170">
        <f t="shared" si="28"/>
        <v>0</v>
      </c>
      <c r="M92" s="170">
        <f>$G92*F92*160/100</f>
        <v>0</v>
      </c>
    </row>
    <row r="93" spans="1:20" ht="12" customHeight="1" x14ac:dyDescent="0.2">
      <c r="A93" s="161" t="s">
        <v>252</v>
      </c>
      <c r="B93" s="173">
        <v>77</v>
      </c>
      <c r="C93" s="173">
        <v>10</v>
      </c>
      <c r="D93" s="173">
        <v>5.6</v>
      </c>
      <c r="E93" s="173">
        <v>1</v>
      </c>
      <c r="F93" s="245">
        <f t="shared" si="18"/>
        <v>6.4</v>
      </c>
      <c r="G93" s="131"/>
      <c r="H93" s="166">
        <f>$G93*B93*15/100</f>
        <v>0</v>
      </c>
      <c r="I93" s="167">
        <f>$G93*C93*15/100</f>
        <v>0</v>
      </c>
      <c r="J93" s="167">
        <f>$G93*D93*15/100</f>
        <v>0</v>
      </c>
      <c r="K93" s="168">
        <f t="shared" si="30"/>
        <v>0</v>
      </c>
      <c r="L93" s="170">
        <f t="shared" si="28"/>
        <v>0</v>
      </c>
      <c r="M93" s="173">
        <f>$G93*F93*15/100</f>
        <v>0</v>
      </c>
    </row>
    <row r="94" spans="1:20" x14ac:dyDescent="0.2">
      <c r="A94" s="201" t="s">
        <v>256</v>
      </c>
      <c r="B94" s="204">
        <v>34.200000000000003</v>
      </c>
      <c r="C94" s="204">
        <v>8.3000000000000007</v>
      </c>
      <c r="D94" s="204">
        <v>5.7</v>
      </c>
      <c r="E94" s="203">
        <v>1</v>
      </c>
      <c r="F94" s="245">
        <f t="shared" si="18"/>
        <v>50.8</v>
      </c>
      <c r="G94" s="250"/>
      <c r="H94" s="248">
        <f>$G94*B94*150/100</f>
        <v>0</v>
      </c>
      <c r="I94" s="202">
        <f>$G94*C94*150/100</f>
        <v>0</v>
      </c>
      <c r="J94" s="202">
        <f>$G94*D94*150/100</f>
        <v>0</v>
      </c>
      <c r="K94" s="168">
        <f t="shared" si="30"/>
        <v>0</v>
      </c>
      <c r="L94" s="170">
        <f t="shared" si="28"/>
        <v>0</v>
      </c>
      <c r="M94" s="173">
        <f>$G94*F94*150/100</f>
        <v>0</v>
      </c>
    </row>
    <row r="95" spans="1:20" x14ac:dyDescent="0.2">
      <c r="A95" s="201" t="s">
        <v>254</v>
      </c>
      <c r="B95" s="204">
        <v>23.2</v>
      </c>
      <c r="C95" s="204">
        <v>13.6</v>
      </c>
      <c r="D95" s="204">
        <v>6.2</v>
      </c>
      <c r="E95" s="203">
        <v>0.5</v>
      </c>
      <c r="F95" s="245">
        <f t="shared" si="18"/>
        <v>56.499999999999993</v>
      </c>
      <c r="G95" s="250"/>
      <c r="H95" s="248">
        <f>$G95*B95*200/100</f>
        <v>0</v>
      </c>
      <c r="I95" s="202">
        <f>$G95*C95*200/100</f>
        <v>0</v>
      </c>
      <c r="J95" s="202">
        <f>$G95*D95*200/100</f>
        <v>0</v>
      </c>
      <c r="K95" s="168">
        <f t="shared" si="30"/>
        <v>0</v>
      </c>
      <c r="L95" s="170">
        <f t="shared" si="28"/>
        <v>0</v>
      </c>
      <c r="M95" s="173">
        <f>$G95*F95*200/100</f>
        <v>0</v>
      </c>
    </row>
    <row r="96" spans="1:20" x14ac:dyDescent="0.2">
      <c r="A96" s="201" t="s">
        <v>255</v>
      </c>
      <c r="B96" s="204">
        <v>27</v>
      </c>
      <c r="C96" s="204">
        <v>11</v>
      </c>
      <c r="D96" s="204">
        <v>3.8</v>
      </c>
      <c r="E96" s="203">
        <v>0</v>
      </c>
      <c r="F96" s="245">
        <f t="shared" si="18"/>
        <v>58.2</v>
      </c>
      <c r="G96" s="250">
        <v>2</v>
      </c>
      <c r="H96" s="248">
        <f t="shared" ref="H96:J101" si="31">$G96*B96*150/100</f>
        <v>81</v>
      </c>
      <c r="I96" s="202">
        <f t="shared" si="31"/>
        <v>33</v>
      </c>
      <c r="J96" s="202">
        <f t="shared" si="31"/>
        <v>11.4</v>
      </c>
      <c r="K96" s="168">
        <f t="shared" si="30"/>
        <v>2783.88</v>
      </c>
      <c r="L96" s="170">
        <f t="shared" si="28"/>
        <v>0</v>
      </c>
      <c r="M96" s="173">
        <f t="shared" ref="M96:M101" si="32">$G96*F96*150/100</f>
        <v>174.6</v>
      </c>
    </row>
    <row r="97" spans="1:20" x14ac:dyDescent="0.2">
      <c r="A97" s="201" t="s">
        <v>202</v>
      </c>
      <c r="B97" s="204">
        <v>20</v>
      </c>
      <c r="C97" s="204">
        <v>10</v>
      </c>
      <c r="D97" s="204">
        <v>4</v>
      </c>
      <c r="E97" s="203">
        <v>0</v>
      </c>
      <c r="F97" s="245">
        <f t="shared" si="18"/>
        <v>66</v>
      </c>
      <c r="G97" s="250"/>
      <c r="H97" s="248">
        <f t="shared" si="31"/>
        <v>0</v>
      </c>
      <c r="I97" s="202">
        <f t="shared" si="31"/>
        <v>0</v>
      </c>
      <c r="J97" s="202">
        <f t="shared" si="31"/>
        <v>0</v>
      </c>
      <c r="K97" s="168">
        <f t="shared" si="30"/>
        <v>0</v>
      </c>
      <c r="L97" s="170">
        <f t="shared" si="28"/>
        <v>0</v>
      </c>
      <c r="M97" s="173">
        <f t="shared" si="32"/>
        <v>0</v>
      </c>
    </row>
    <row r="98" spans="1:20" x14ac:dyDescent="0.2">
      <c r="A98" s="234" t="s">
        <v>258</v>
      </c>
      <c r="B98" s="204">
        <v>65</v>
      </c>
      <c r="C98" s="204">
        <v>20</v>
      </c>
      <c r="D98" s="204">
        <v>4.5999999999999996</v>
      </c>
      <c r="E98" s="203">
        <v>0</v>
      </c>
      <c r="F98" s="245">
        <f t="shared" si="18"/>
        <v>10.4</v>
      </c>
      <c r="G98" s="250"/>
      <c r="H98" s="248">
        <f t="shared" si="31"/>
        <v>0</v>
      </c>
      <c r="I98" s="202">
        <f t="shared" si="31"/>
        <v>0</v>
      </c>
      <c r="J98" s="202">
        <f t="shared" si="31"/>
        <v>0</v>
      </c>
      <c r="K98" s="168">
        <f t="shared" si="30"/>
        <v>0</v>
      </c>
      <c r="L98" s="170">
        <f t="shared" si="28"/>
        <v>0</v>
      </c>
      <c r="M98" s="173">
        <f t="shared" si="32"/>
        <v>0</v>
      </c>
    </row>
    <row r="99" spans="1:20" x14ac:dyDescent="0.2">
      <c r="A99" s="234" t="s">
        <v>257</v>
      </c>
      <c r="B99" s="204">
        <v>45</v>
      </c>
      <c r="C99" s="204">
        <v>13.1</v>
      </c>
      <c r="D99" s="204">
        <v>2.6</v>
      </c>
      <c r="E99" s="203">
        <v>1</v>
      </c>
      <c r="F99" s="245">
        <f t="shared" si="18"/>
        <v>38.299999999999997</v>
      </c>
      <c r="G99" s="250"/>
      <c r="H99" s="248">
        <f t="shared" si="31"/>
        <v>0</v>
      </c>
      <c r="I99" s="202">
        <f t="shared" si="31"/>
        <v>0</v>
      </c>
      <c r="J99" s="202">
        <f t="shared" si="31"/>
        <v>0</v>
      </c>
      <c r="K99" s="168">
        <f t="shared" si="30"/>
        <v>0</v>
      </c>
      <c r="L99" s="170">
        <f t="shared" si="28"/>
        <v>0</v>
      </c>
      <c r="M99" s="173">
        <f t="shared" si="32"/>
        <v>0</v>
      </c>
    </row>
    <row r="100" spans="1:20" x14ac:dyDescent="0.2">
      <c r="A100" s="201" t="s">
        <v>191</v>
      </c>
      <c r="B100" s="204">
        <v>12</v>
      </c>
      <c r="C100" s="204">
        <v>1</v>
      </c>
      <c r="D100" s="204">
        <v>2</v>
      </c>
      <c r="E100" s="203">
        <v>0.5</v>
      </c>
      <c r="F100" s="245">
        <f t="shared" si="18"/>
        <v>84.5</v>
      </c>
      <c r="G100" s="250"/>
      <c r="H100" s="248">
        <f t="shared" si="31"/>
        <v>0</v>
      </c>
      <c r="I100" s="202">
        <f t="shared" si="31"/>
        <v>0</v>
      </c>
      <c r="J100" s="202">
        <f t="shared" si="31"/>
        <v>0</v>
      </c>
      <c r="K100" s="168">
        <f t="shared" si="30"/>
        <v>0</v>
      </c>
      <c r="L100" s="170">
        <f t="shared" si="28"/>
        <v>0</v>
      </c>
      <c r="M100" s="173">
        <f t="shared" si="32"/>
        <v>0</v>
      </c>
    </row>
    <row r="101" spans="1:20" x14ac:dyDescent="0.2">
      <c r="A101" s="201" t="s">
        <v>314</v>
      </c>
      <c r="B101" s="204">
        <v>33.5</v>
      </c>
      <c r="C101" s="204">
        <v>25.8</v>
      </c>
      <c r="D101" s="204">
        <v>13.2</v>
      </c>
      <c r="E101" s="203">
        <v>0</v>
      </c>
      <c r="F101" s="245">
        <f t="shared" si="18"/>
        <v>27.500000000000004</v>
      </c>
      <c r="G101" s="250"/>
      <c r="H101" s="248">
        <f t="shared" si="31"/>
        <v>0</v>
      </c>
      <c r="I101" s="202">
        <f t="shared" si="31"/>
        <v>0</v>
      </c>
      <c r="J101" s="202">
        <f t="shared" si="31"/>
        <v>0</v>
      </c>
      <c r="K101" s="168">
        <f t="shared" si="30"/>
        <v>0</v>
      </c>
      <c r="L101" s="170">
        <f t="shared" si="28"/>
        <v>0</v>
      </c>
      <c r="M101" s="173">
        <f t="shared" si="32"/>
        <v>0</v>
      </c>
    </row>
    <row r="102" spans="1:20" s="194" customFormat="1" x14ac:dyDescent="0.2">
      <c r="A102" s="161" t="s">
        <v>259</v>
      </c>
      <c r="B102" s="202">
        <v>63</v>
      </c>
      <c r="C102" s="202">
        <v>30</v>
      </c>
      <c r="D102" s="202">
        <v>2</v>
      </c>
      <c r="E102" s="203">
        <v>0</v>
      </c>
      <c r="F102" s="245">
        <f t="shared" si="18"/>
        <v>5</v>
      </c>
      <c r="G102" s="250"/>
      <c r="H102" s="248">
        <f t="shared" ref="H102:J103" si="33">$G102*B102*10/100</f>
        <v>0</v>
      </c>
      <c r="I102" s="202">
        <f t="shared" si="33"/>
        <v>0</v>
      </c>
      <c r="J102" s="202">
        <f t="shared" si="33"/>
        <v>0</v>
      </c>
      <c r="K102" s="168">
        <f t="shared" si="30"/>
        <v>0</v>
      </c>
      <c r="L102" s="170">
        <f t="shared" si="28"/>
        <v>0</v>
      </c>
      <c r="M102" s="173">
        <f>$G102*F102*10/100</f>
        <v>0</v>
      </c>
      <c r="N102" s="193"/>
      <c r="O102" s="196"/>
      <c r="P102" s="196"/>
      <c r="Q102" s="196"/>
      <c r="R102" s="196"/>
      <c r="S102" s="196"/>
      <c r="T102" s="196"/>
    </row>
    <row r="103" spans="1:20" x14ac:dyDescent="0.2">
      <c r="A103" s="161" t="s">
        <v>260</v>
      </c>
      <c r="B103" s="202">
        <v>55.7</v>
      </c>
      <c r="C103" s="202">
        <v>33.5</v>
      </c>
      <c r="D103" s="202">
        <v>6</v>
      </c>
      <c r="E103" s="203">
        <v>0</v>
      </c>
      <c r="F103" s="245">
        <f t="shared" si="18"/>
        <v>4.7999999999999972</v>
      </c>
      <c r="G103" s="250"/>
      <c r="H103" s="248">
        <f t="shared" si="33"/>
        <v>0</v>
      </c>
      <c r="I103" s="202">
        <f t="shared" si="33"/>
        <v>0</v>
      </c>
      <c r="J103" s="202">
        <f t="shared" si="33"/>
        <v>0</v>
      </c>
      <c r="K103" s="168">
        <f t="shared" si="30"/>
        <v>0</v>
      </c>
      <c r="L103" s="170">
        <f t="shared" si="28"/>
        <v>0</v>
      </c>
      <c r="M103" s="173">
        <f>$G103*F103*10/100</f>
        <v>0</v>
      </c>
    </row>
    <row r="104" spans="1:20" s="69" customFormat="1" ht="12" customHeight="1" thickBot="1" x14ac:dyDescent="0.25">
      <c r="A104" s="226" t="s">
        <v>261</v>
      </c>
      <c r="B104" s="229">
        <v>100</v>
      </c>
      <c r="C104" s="229">
        <v>0</v>
      </c>
      <c r="D104" s="229">
        <v>0</v>
      </c>
      <c r="E104" s="228">
        <v>0</v>
      </c>
      <c r="F104" s="245">
        <f t="shared" si="18"/>
        <v>0</v>
      </c>
      <c r="G104" s="251">
        <v>2</v>
      </c>
      <c r="H104" s="254">
        <f>$G104*B104*5/100</f>
        <v>10</v>
      </c>
      <c r="I104" s="229">
        <f>$G104*C104*5/100</f>
        <v>0</v>
      </c>
      <c r="J104" s="229">
        <f>$G104*D104*5/100</f>
        <v>0</v>
      </c>
      <c r="K104" s="230">
        <f t="shared" si="30"/>
        <v>167</v>
      </c>
      <c r="L104" s="170">
        <f t="shared" si="28"/>
        <v>0</v>
      </c>
      <c r="M104" s="176">
        <f>$G104*F104*5/100</f>
        <v>0</v>
      </c>
      <c r="N104" s="68"/>
      <c r="O104" s="43"/>
      <c r="P104" s="43"/>
      <c r="Q104" s="43"/>
      <c r="R104" s="43"/>
      <c r="S104" s="43"/>
      <c r="T104" s="43"/>
    </row>
    <row r="105" spans="1:20" s="69" customFormat="1" ht="18" customHeight="1" thickBot="1" x14ac:dyDescent="0.25">
      <c r="A105" s="210" t="s">
        <v>159</v>
      </c>
      <c r="B105" s="211"/>
      <c r="C105" s="211"/>
      <c r="D105" s="211"/>
      <c r="E105" s="207"/>
      <c r="F105" s="211"/>
      <c r="G105" s="208"/>
      <c r="H105" s="211"/>
      <c r="I105" s="211"/>
      <c r="J105" s="211"/>
      <c r="K105" s="211"/>
      <c r="L105" s="211"/>
      <c r="M105" s="209"/>
      <c r="N105" s="68"/>
      <c r="O105" s="43"/>
      <c r="P105" s="43"/>
      <c r="Q105" s="43"/>
      <c r="R105" s="43"/>
      <c r="S105" s="43"/>
      <c r="T105" s="43"/>
    </row>
    <row r="106" spans="1:20" x14ac:dyDescent="0.2">
      <c r="A106" s="224" t="s">
        <v>218</v>
      </c>
      <c r="B106" s="198">
        <v>0.5</v>
      </c>
      <c r="C106" s="198">
        <v>84</v>
      </c>
      <c r="D106" s="198">
        <v>0.5</v>
      </c>
      <c r="E106" s="199">
        <v>0</v>
      </c>
      <c r="F106" s="245">
        <f t="shared" si="18"/>
        <v>15</v>
      </c>
      <c r="G106" s="249">
        <v>4</v>
      </c>
      <c r="H106" s="247">
        <f>$G106*B106*10/100</f>
        <v>0.2</v>
      </c>
      <c r="I106" s="198">
        <f>$G106*C106*10/100</f>
        <v>33.6</v>
      </c>
      <c r="J106" s="198">
        <f>$G106*D106*10/100</f>
        <v>0.2</v>
      </c>
      <c r="K106" s="200">
        <f t="shared" ref="K106:K122" si="34">H106*16.7+I106*37.6+J106*16.7</f>
        <v>1270.04</v>
      </c>
      <c r="L106" s="170">
        <f t="shared" si="28"/>
        <v>0</v>
      </c>
      <c r="M106" s="170">
        <f>$G106*F106*10/100</f>
        <v>6</v>
      </c>
    </row>
    <row r="107" spans="1:20" x14ac:dyDescent="0.2">
      <c r="A107" s="161" t="s">
        <v>263</v>
      </c>
      <c r="B107" s="202">
        <v>1.6</v>
      </c>
      <c r="C107" s="202">
        <v>21</v>
      </c>
      <c r="D107" s="202">
        <v>17</v>
      </c>
      <c r="E107" s="199">
        <v>0</v>
      </c>
      <c r="F107" s="245">
        <f t="shared" si="18"/>
        <v>60.400000000000006</v>
      </c>
      <c r="G107" s="250"/>
      <c r="H107" s="248">
        <f t="shared" ref="H107:J108" si="35">$G107*B107*40/100</f>
        <v>0</v>
      </c>
      <c r="I107" s="202">
        <f t="shared" si="35"/>
        <v>0</v>
      </c>
      <c r="J107" s="202">
        <f t="shared" si="35"/>
        <v>0</v>
      </c>
      <c r="K107" s="168">
        <f t="shared" si="34"/>
        <v>0</v>
      </c>
      <c r="L107" s="170">
        <f>$G107*E107*100/100</f>
        <v>0</v>
      </c>
      <c r="M107" s="173">
        <f>$G107*F107*40/100</f>
        <v>0</v>
      </c>
    </row>
    <row r="108" spans="1:20" x14ac:dyDescent="0.2">
      <c r="A108" s="161" t="s">
        <v>264</v>
      </c>
      <c r="B108" s="202">
        <v>4</v>
      </c>
      <c r="C108" s="202">
        <v>24</v>
      </c>
      <c r="D108" s="202">
        <v>20</v>
      </c>
      <c r="E108" s="199">
        <v>0</v>
      </c>
      <c r="F108" s="245">
        <f t="shared" si="18"/>
        <v>52</v>
      </c>
      <c r="G108" s="250">
        <v>3</v>
      </c>
      <c r="H108" s="248">
        <f t="shared" si="35"/>
        <v>4.8</v>
      </c>
      <c r="I108" s="202">
        <f t="shared" si="35"/>
        <v>28.8</v>
      </c>
      <c r="J108" s="202">
        <f t="shared" si="35"/>
        <v>24</v>
      </c>
      <c r="K108" s="168">
        <f t="shared" si="34"/>
        <v>1563.8400000000001</v>
      </c>
      <c r="L108" s="170">
        <f>$G108*E108*100/100</f>
        <v>0</v>
      </c>
      <c r="M108" s="173">
        <f>$G108*F108*40/100</f>
        <v>62.4</v>
      </c>
    </row>
    <row r="109" spans="1:20" x14ac:dyDescent="0.2">
      <c r="A109" s="234" t="s">
        <v>265</v>
      </c>
      <c r="B109" s="204">
        <v>15</v>
      </c>
      <c r="C109" s="204">
        <v>15</v>
      </c>
      <c r="D109" s="204">
        <v>20</v>
      </c>
      <c r="E109" s="199">
        <v>0</v>
      </c>
      <c r="F109" s="245">
        <f t="shared" si="18"/>
        <v>50</v>
      </c>
      <c r="G109" s="250"/>
      <c r="H109" s="248">
        <f t="shared" ref="H109:J109" si="36">$G109*B109*40/100</f>
        <v>0</v>
      </c>
      <c r="I109" s="202">
        <f t="shared" si="36"/>
        <v>0</v>
      </c>
      <c r="J109" s="202">
        <f t="shared" si="36"/>
        <v>0</v>
      </c>
      <c r="K109" s="168">
        <f t="shared" si="34"/>
        <v>0</v>
      </c>
      <c r="L109" s="170">
        <f t="shared" si="28"/>
        <v>0</v>
      </c>
      <c r="M109" s="173">
        <f>$G109*F109*40/100</f>
        <v>0</v>
      </c>
    </row>
    <row r="110" spans="1:20" x14ac:dyDescent="0.2">
      <c r="A110" s="201" t="s">
        <v>276</v>
      </c>
      <c r="B110" s="202">
        <v>4</v>
      </c>
      <c r="C110" s="202">
        <v>7</v>
      </c>
      <c r="D110" s="202">
        <v>15.5</v>
      </c>
      <c r="E110" s="199">
        <v>0</v>
      </c>
      <c r="F110" s="245">
        <f t="shared" si="18"/>
        <v>73.5</v>
      </c>
      <c r="G110" s="250"/>
      <c r="H110" s="248">
        <f>$G110*B110*20/100</f>
        <v>0</v>
      </c>
      <c r="I110" s="202">
        <f>$G110*C110*20/100</f>
        <v>0</v>
      </c>
      <c r="J110" s="202">
        <f>$G110*D110*20/100</f>
        <v>0</v>
      </c>
      <c r="K110" s="168">
        <f t="shared" si="34"/>
        <v>0</v>
      </c>
      <c r="L110" s="170">
        <f t="shared" si="28"/>
        <v>0</v>
      </c>
      <c r="M110" s="173">
        <f>$G110*F110*20/100</f>
        <v>0</v>
      </c>
    </row>
    <row r="111" spans="1:20" x14ac:dyDescent="0.2">
      <c r="A111" s="161" t="s">
        <v>262</v>
      </c>
      <c r="B111" s="202">
        <v>1.5</v>
      </c>
      <c r="C111" s="202">
        <v>29.7</v>
      </c>
      <c r="D111" s="202">
        <v>29.5</v>
      </c>
      <c r="E111" s="199">
        <v>0</v>
      </c>
      <c r="F111" s="245">
        <f t="shared" ref="F111:F122" si="37">100-B111-C111-E111-D111</f>
        <v>39.299999999999997</v>
      </c>
      <c r="G111" s="250"/>
      <c r="H111" s="248">
        <f t="shared" ref="H111:J112" si="38">$G111*B111*40/100</f>
        <v>0</v>
      </c>
      <c r="I111" s="202">
        <f t="shared" si="38"/>
        <v>0</v>
      </c>
      <c r="J111" s="202">
        <f t="shared" si="38"/>
        <v>0</v>
      </c>
      <c r="K111" s="168">
        <f t="shared" si="34"/>
        <v>0</v>
      </c>
      <c r="L111" s="170">
        <f t="shared" si="28"/>
        <v>0</v>
      </c>
      <c r="M111" s="173">
        <f>$G111*F111*40/100</f>
        <v>0</v>
      </c>
    </row>
    <row r="112" spans="1:20" x14ac:dyDescent="0.2">
      <c r="A112" s="234" t="s">
        <v>695</v>
      </c>
      <c r="B112" s="204">
        <v>2</v>
      </c>
      <c r="C112" s="204">
        <v>25.6</v>
      </c>
      <c r="D112" s="204">
        <v>36</v>
      </c>
      <c r="E112" s="199">
        <v>0</v>
      </c>
      <c r="F112" s="245">
        <f t="shared" si="37"/>
        <v>36.400000000000006</v>
      </c>
      <c r="G112" s="250"/>
      <c r="H112" s="248">
        <f>$G112*B112*50/100</f>
        <v>0</v>
      </c>
      <c r="I112" s="202">
        <f t="shared" si="38"/>
        <v>0</v>
      </c>
      <c r="J112" s="202">
        <f t="shared" si="38"/>
        <v>0</v>
      </c>
      <c r="K112" s="168">
        <f t="shared" si="34"/>
        <v>0</v>
      </c>
      <c r="L112" s="170">
        <f t="shared" si="28"/>
        <v>0</v>
      </c>
      <c r="M112" s="173">
        <f>$G112*F112*40/100</f>
        <v>0</v>
      </c>
    </row>
    <row r="113" spans="1:20" x14ac:dyDescent="0.2">
      <c r="A113" s="161" t="s">
        <v>266</v>
      </c>
      <c r="B113" s="202">
        <v>2.9</v>
      </c>
      <c r="C113" s="202">
        <v>12.6</v>
      </c>
      <c r="D113" s="202">
        <v>10.199999999999999</v>
      </c>
      <c r="E113" s="199">
        <v>0</v>
      </c>
      <c r="F113" s="245">
        <f t="shared" si="37"/>
        <v>74.3</v>
      </c>
      <c r="G113" s="250"/>
      <c r="H113" s="248">
        <f>$G113*B113*20/100</f>
        <v>0</v>
      </c>
      <c r="I113" s="202">
        <f>$G113*C113*20/100</f>
        <v>0</v>
      </c>
      <c r="J113" s="202">
        <f>$G113*D113*20/100</f>
        <v>0</v>
      </c>
      <c r="K113" s="168">
        <f t="shared" si="34"/>
        <v>0</v>
      </c>
      <c r="L113" s="170">
        <f t="shared" si="28"/>
        <v>0</v>
      </c>
      <c r="M113" s="173">
        <f>$G113*F113*20/100</f>
        <v>0</v>
      </c>
    </row>
    <row r="114" spans="1:20" x14ac:dyDescent="0.2">
      <c r="A114" s="234" t="s">
        <v>275</v>
      </c>
      <c r="B114" s="204">
        <v>4.9000000000000004</v>
      </c>
      <c r="C114" s="204">
        <v>16.100000000000001</v>
      </c>
      <c r="D114" s="204">
        <v>19.899999999999999</v>
      </c>
      <c r="E114" s="199">
        <v>0</v>
      </c>
      <c r="F114" s="245">
        <f t="shared" si="37"/>
        <v>59.1</v>
      </c>
      <c r="G114" s="250">
        <v>1</v>
      </c>
      <c r="H114" s="248">
        <f>$G114*B114*40/100</f>
        <v>1.96</v>
      </c>
      <c r="I114" s="202">
        <f>$G114*C114*40/100</f>
        <v>6.44</v>
      </c>
      <c r="J114" s="202">
        <f>$G114*D114*40/100</f>
        <v>7.96</v>
      </c>
      <c r="K114" s="168">
        <f t="shared" si="34"/>
        <v>407.80799999999999</v>
      </c>
      <c r="L114" s="170">
        <f t="shared" si="28"/>
        <v>0</v>
      </c>
      <c r="M114" s="173">
        <f>$G114*F114*40/100</f>
        <v>23.64</v>
      </c>
    </row>
    <row r="115" spans="1:20" x14ac:dyDescent="0.2">
      <c r="A115" s="234" t="s">
        <v>269</v>
      </c>
      <c r="B115" s="204">
        <v>2</v>
      </c>
      <c r="C115" s="204">
        <v>30.5</v>
      </c>
      <c r="D115" s="204">
        <v>21.5</v>
      </c>
      <c r="E115" s="199">
        <v>0</v>
      </c>
      <c r="F115" s="245">
        <f t="shared" si="37"/>
        <v>46</v>
      </c>
      <c r="G115" s="250"/>
      <c r="H115" s="248">
        <f>$G115*B115*30/100</f>
        <v>0</v>
      </c>
      <c r="I115" s="202">
        <f>$G115*C115*30/100</f>
        <v>0</v>
      </c>
      <c r="J115" s="202">
        <f>$G115*D115*30/100</f>
        <v>0</v>
      </c>
      <c r="K115" s="168">
        <f t="shared" si="34"/>
        <v>0</v>
      </c>
      <c r="L115" s="170">
        <f t="shared" si="28"/>
        <v>0</v>
      </c>
      <c r="M115" s="173">
        <f>$G115*F115*30/100</f>
        <v>0</v>
      </c>
    </row>
    <row r="116" spans="1:20" x14ac:dyDescent="0.2">
      <c r="A116" s="161" t="s">
        <v>270</v>
      </c>
      <c r="B116" s="202">
        <v>2.7</v>
      </c>
      <c r="C116" s="202">
        <v>4</v>
      </c>
      <c r="D116" s="202">
        <v>11</v>
      </c>
      <c r="E116" s="199">
        <v>0</v>
      </c>
      <c r="F116" s="245">
        <f t="shared" si="37"/>
        <v>82.3</v>
      </c>
      <c r="G116" s="250"/>
      <c r="H116" s="248">
        <f t="shared" ref="H116:J118" si="39">$G116*B116*120/100</f>
        <v>0</v>
      </c>
      <c r="I116" s="202">
        <f t="shared" si="39"/>
        <v>0</v>
      </c>
      <c r="J116" s="202">
        <f t="shared" si="39"/>
        <v>0</v>
      </c>
      <c r="K116" s="168">
        <f t="shared" si="34"/>
        <v>0</v>
      </c>
      <c r="L116" s="170">
        <f t="shared" si="28"/>
        <v>0</v>
      </c>
      <c r="M116" s="173">
        <f>$G116*F116*120/100</f>
        <v>0</v>
      </c>
    </row>
    <row r="117" spans="1:20" x14ac:dyDescent="0.2">
      <c r="A117" s="161" t="s">
        <v>271</v>
      </c>
      <c r="B117" s="202">
        <v>3</v>
      </c>
      <c r="C117" s="202">
        <v>0</v>
      </c>
      <c r="D117" s="202">
        <v>12.5</v>
      </c>
      <c r="E117" s="199">
        <v>0</v>
      </c>
      <c r="F117" s="245">
        <f t="shared" si="37"/>
        <v>84.5</v>
      </c>
      <c r="G117" s="250"/>
      <c r="H117" s="248">
        <f t="shared" si="39"/>
        <v>0</v>
      </c>
      <c r="I117" s="202">
        <f t="shared" si="39"/>
        <v>0</v>
      </c>
      <c r="J117" s="202">
        <f t="shared" si="39"/>
        <v>0</v>
      </c>
      <c r="K117" s="168">
        <f t="shared" si="34"/>
        <v>0</v>
      </c>
      <c r="L117" s="170">
        <f t="shared" si="28"/>
        <v>0</v>
      </c>
      <c r="M117" s="173">
        <f>$G117*F117*120/100</f>
        <v>0</v>
      </c>
    </row>
    <row r="118" spans="1:20" x14ac:dyDescent="0.2">
      <c r="A118" s="201" t="s">
        <v>272</v>
      </c>
      <c r="B118" s="202">
        <v>2</v>
      </c>
      <c r="C118" s="202">
        <v>32</v>
      </c>
      <c r="D118" s="202">
        <v>8.5</v>
      </c>
      <c r="E118" s="199">
        <v>0</v>
      </c>
      <c r="F118" s="245">
        <f t="shared" si="37"/>
        <v>57.5</v>
      </c>
      <c r="G118" s="250"/>
      <c r="H118" s="248">
        <f t="shared" si="39"/>
        <v>0</v>
      </c>
      <c r="I118" s="202">
        <f t="shared" si="39"/>
        <v>0</v>
      </c>
      <c r="J118" s="202">
        <f t="shared" si="39"/>
        <v>0</v>
      </c>
      <c r="K118" s="168">
        <f t="shared" si="34"/>
        <v>0</v>
      </c>
      <c r="L118" s="170">
        <f t="shared" si="28"/>
        <v>0</v>
      </c>
      <c r="M118" s="173">
        <f>$G118*F118*120/100</f>
        <v>0</v>
      </c>
    </row>
    <row r="119" spans="1:20" x14ac:dyDescent="0.2">
      <c r="A119" s="161" t="s">
        <v>273</v>
      </c>
      <c r="B119" s="202">
        <v>3.3</v>
      </c>
      <c r="C119" s="202">
        <v>33</v>
      </c>
      <c r="D119" s="202">
        <v>2.6</v>
      </c>
      <c r="E119" s="199">
        <v>0</v>
      </c>
      <c r="F119" s="245">
        <f t="shared" si="37"/>
        <v>61.1</v>
      </c>
      <c r="G119" s="250"/>
      <c r="H119" s="248">
        <f>$G119*B119*30/100</f>
        <v>0</v>
      </c>
      <c r="I119" s="202">
        <f>$G119*C119*30/100</f>
        <v>0</v>
      </c>
      <c r="J119" s="202">
        <f>$G119*D119*30/100</f>
        <v>0</v>
      </c>
      <c r="K119" s="168">
        <f t="shared" si="34"/>
        <v>0</v>
      </c>
      <c r="L119" s="170">
        <f t="shared" si="28"/>
        <v>0</v>
      </c>
      <c r="M119" s="173">
        <f>$G119*F119*30/100</f>
        <v>0</v>
      </c>
    </row>
    <row r="120" spans="1:20" s="194" customFormat="1" x14ac:dyDescent="0.2">
      <c r="A120" s="161" t="s">
        <v>267</v>
      </c>
      <c r="B120" s="204">
        <v>24.5</v>
      </c>
      <c r="C120" s="204">
        <v>3.4</v>
      </c>
      <c r="D120" s="204">
        <v>4</v>
      </c>
      <c r="E120" s="199">
        <v>0</v>
      </c>
      <c r="F120" s="245">
        <f t="shared" si="37"/>
        <v>68.099999999999994</v>
      </c>
      <c r="G120" s="250"/>
      <c r="H120" s="248">
        <f t="shared" ref="H120:J122" si="40">$G120*B120*125/100</f>
        <v>0</v>
      </c>
      <c r="I120" s="202">
        <f t="shared" si="40"/>
        <v>0</v>
      </c>
      <c r="J120" s="202">
        <f t="shared" si="40"/>
        <v>0</v>
      </c>
      <c r="K120" s="168">
        <f t="shared" si="34"/>
        <v>0</v>
      </c>
      <c r="L120" s="170">
        <f t="shared" si="28"/>
        <v>0</v>
      </c>
      <c r="M120" s="173">
        <f>$G120*F120*125/100</f>
        <v>0</v>
      </c>
      <c r="N120" s="193"/>
      <c r="O120" s="196"/>
      <c r="P120" s="196"/>
      <c r="Q120" s="196"/>
      <c r="R120" s="196"/>
      <c r="S120" s="196"/>
      <c r="T120" s="196"/>
    </row>
    <row r="121" spans="1:20" x14ac:dyDescent="0.2">
      <c r="A121" s="161" t="s">
        <v>350</v>
      </c>
      <c r="B121" s="204">
        <v>5.8</v>
      </c>
      <c r="C121" s="204">
        <v>4.4000000000000004</v>
      </c>
      <c r="D121" s="204">
        <v>5</v>
      </c>
      <c r="E121" s="199">
        <v>0</v>
      </c>
      <c r="F121" s="245">
        <f>100-B121-C121-E121-D121</f>
        <v>84.8</v>
      </c>
      <c r="G121" s="250"/>
      <c r="H121" s="248">
        <f t="shared" si="40"/>
        <v>0</v>
      </c>
      <c r="I121" s="202">
        <f t="shared" si="40"/>
        <v>0</v>
      </c>
      <c r="J121" s="202">
        <f t="shared" si="40"/>
        <v>0</v>
      </c>
      <c r="K121" s="168">
        <f t="shared" si="34"/>
        <v>0</v>
      </c>
      <c r="L121" s="170">
        <f t="shared" si="28"/>
        <v>0</v>
      </c>
      <c r="M121" s="173">
        <f>$G121*F121*125/100</f>
        <v>0</v>
      </c>
    </row>
    <row r="122" spans="1:20" ht="13.5" thickBot="1" x14ac:dyDescent="0.25">
      <c r="A122" s="226" t="s">
        <v>351</v>
      </c>
      <c r="B122" s="235">
        <v>7.6</v>
      </c>
      <c r="C122" s="235">
        <v>0.1</v>
      </c>
      <c r="D122" s="235">
        <v>5.7</v>
      </c>
      <c r="E122" s="199">
        <v>0</v>
      </c>
      <c r="F122" s="245">
        <f t="shared" si="37"/>
        <v>86.600000000000009</v>
      </c>
      <c r="G122" s="251"/>
      <c r="H122" s="254">
        <f t="shared" si="40"/>
        <v>0</v>
      </c>
      <c r="I122" s="229">
        <f t="shared" si="40"/>
        <v>0</v>
      </c>
      <c r="J122" s="229">
        <f t="shared" si="40"/>
        <v>0</v>
      </c>
      <c r="K122" s="230">
        <f t="shared" si="34"/>
        <v>0</v>
      </c>
      <c r="L122" s="170">
        <f t="shared" si="28"/>
        <v>0</v>
      </c>
      <c r="M122" s="176">
        <f>$G122*F122*125/100</f>
        <v>0</v>
      </c>
    </row>
    <row r="123" spans="1:20" ht="13.5" thickBot="1" x14ac:dyDescent="0.25">
      <c r="A123" s="205" t="s">
        <v>285</v>
      </c>
      <c r="B123" s="206"/>
      <c r="C123" s="206"/>
      <c r="D123" s="206"/>
      <c r="E123" s="207"/>
      <c r="F123" s="206"/>
      <c r="G123" s="208"/>
      <c r="H123" s="206"/>
      <c r="I123" s="206"/>
      <c r="J123" s="206"/>
      <c r="K123" s="206"/>
      <c r="L123" s="206"/>
      <c r="M123" s="209"/>
    </row>
    <row r="124" spans="1:20" x14ac:dyDescent="0.2">
      <c r="A124" s="197" t="s">
        <v>220</v>
      </c>
      <c r="B124" s="198">
        <v>0</v>
      </c>
      <c r="C124" s="236">
        <v>7</v>
      </c>
      <c r="D124" s="236">
        <v>28</v>
      </c>
      <c r="E124" s="197">
        <v>0</v>
      </c>
      <c r="F124" s="245">
        <f>100-B124-C124-D124-E124</f>
        <v>65</v>
      </c>
      <c r="G124" s="249"/>
      <c r="H124" s="247">
        <f>$G124*B124*170/100</f>
        <v>0</v>
      </c>
      <c r="I124" s="198">
        <f>$G124*C124*170/100</f>
        <v>0</v>
      </c>
      <c r="J124" s="198">
        <f>$G124*D124*170/100</f>
        <v>0</v>
      </c>
      <c r="K124" s="200">
        <f t="shared" ref="K124:K153" si="41">H124*16.7+I124*37.6+J124*16.7</f>
        <v>0</v>
      </c>
      <c r="L124" s="170">
        <f t="shared" si="28"/>
        <v>0</v>
      </c>
      <c r="M124" s="170">
        <f>$G124*F124*170/100</f>
        <v>0</v>
      </c>
    </row>
    <row r="125" spans="1:20" x14ac:dyDescent="0.2">
      <c r="A125" s="201" t="s">
        <v>221</v>
      </c>
      <c r="B125" s="225">
        <v>0.5</v>
      </c>
      <c r="C125" s="225">
        <v>8</v>
      </c>
      <c r="D125" s="225">
        <v>25</v>
      </c>
      <c r="E125" s="197">
        <v>0</v>
      </c>
      <c r="F125" s="245">
        <f t="shared" ref="F125:F153" si="42">100-B125-C125-D125-E125</f>
        <v>66.5</v>
      </c>
      <c r="G125" s="250">
        <v>1</v>
      </c>
      <c r="H125" s="248">
        <f>$G125*B125*160/100</f>
        <v>0.8</v>
      </c>
      <c r="I125" s="202">
        <f>$G125*C125*160/100</f>
        <v>12.8</v>
      </c>
      <c r="J125" s="202">
        <f>$G125*D125*160/100</f>
        <v>40</v>
      </c>
      <c r="K125" s="168">
        <f t="shared" si="41"/>
        <v>1162.6400000000001</v>
      </c>
      <c r="L125" s="170">
        <f t="shared" si="28"/>
        <v>0</v>
      </c>
      <c r="M125" s="173">
        <f>$G125*F125*160/100</f>
        <v>106.4</v>
      </c>
    </row>
    <row r="126" spans="1:20" x14ac:dyDescent="0.2">
      <c r="A126" s="161" t="s">
        <v>222</v>
      </c>
      <c r="B126" s="202">
        <v>0</v>
      </c>
      <c r="C126" s="202">
        <v>5.5</v>
      </c>
      <c r="D126" s="202">
        <v>28</v>
      </c>
      <c r="E126" s="197">
        <v>0</v>
      </c>
      <c r="F126" s="245">
        <f t="shared" si="42"/>
        <v>66.5</v>
      </c>
      <c r="G126" s="250"/>
      <c r="H126" s="248">
        <f>$G126*B126*180/100</f>
        <v>0</v>
      </c>
      <c r="I126" s="202">
        <f>$G126*C126*180/100</f>
        <v>0</v>
      </c>
      <c r="J126" s="202">
        <f>$G126*D126*180/100</f>
        <v>0</v>
      </c>
      <c r="K126" s="168">
        <f t="shared" si="41"/>
        <v>0</v>
      </c>
      <c r="L126" s="170">
        <f t="shared" si="28"/>
        <v>0</v>
      </c>
      <c r="M126" s="173">
        <f>$G126*F126*180/100</f>
        <v>0</v>
      </c>
    </row>
    <row r="127" spans="1:20" x14ac:dyDescent="0.2">
      <c r="A127" s="161" t="s">
        <v>198</v>
      </c>
      <c r="B127" s="225">
        <v>1.4</v>
      </c>
      <c r="C127" s="225">
        <v>23.3</v>
      </c>
      <c r="D127" s="225">
        <v>13.7</v>
      </c>
      <c r="E127" s="197">
        <v>0</v>
      </c>
      <c r="F127" s="245">
        <f t="shared" si="42"/>
        <v>61.599999999999994</v>
      </c>
      <c r="G127" s="250"/>
      <c r="H127" s="248">
        <f t="shared" ref="H127:J128" si="43">$G127*B127*100/100</f>
        <v>0</v>
      </c>
      <c r="I127" s="202">
        <f t="shared" si="43"/>
        <v>0</v>
      </c>
      <c r="J127" s="202">
        <f t="shared" si="43"/>
        <v>0</v>
      </c>
      <c r="K127" s="168">
        <f t="shared" si="41"/>
        <v>0</v>
      </c>
      <c r="L127" s="170">
        <f t="shared" si="28"/>
        <v>0</v>
      </c>
      <c r="M127" s="173">
        <f>$G127*F127*100/100</f>
        <v>0</v>
      </c>
    </row>
    <row r="128" spans="1:20" x14ac:dyDescent="0.2">
      <c r="A128" s="161" t="s">
        <v>199</v>
      </c>
      <c r="B128" s="225">
        <v>6.8</v>
      </c>
      <c r="C128" s="225">
        <v>19.8</v>
      </c>
      <c r="D128" s="225">
        <v>12.9</v>
      </c>
      <c r="E128" s="197">
        <v>0</v>
      </c>
      <c r="F128" s="245">
        <f t="shared" si="42"/>
        <v>60.500000000000007</v>
      </c>
      <c r="G128" s="250"/>
      <c r="H128" s="248">
        <f t="shared" si="43"/>
        <v>0</v>
      </c>
      <c r="I128" s="202">
        <f t="shared" si="43"/>
        <v>0</v>
      </c>
      <c r="J128" s="202">
        <f t="shared" si="43"/>
        <v>0</v>
      </c>
      <c r="K128" s="168">
        <f t="shared" si="41"/>
        <v>0</v>
      </c>
      <c r="L128" s="170">
        <f t="shared" si="28"/>
        <v>0</v>
      </c>
      <c r="M128" s="173">
        <f>$G128*F128*100/100</f>
        <v>0</v>
      </c>
    </row>
    <row r="129" spans="1:20" s="49" customFormat="1" x14ac:dyDescent="0.2">
      <c r="A129" s="161" t="s">
        <v>223</v>
      </c>
      <c r="B129" s="202">
        <v>0</v>
      </c>
      <c r="C129" s="202">
        <v>10</v>
      </c>
      <c r="D129" s="202">
        <v>21</v>
      </c>
      <c r="E129" s="197">
        <v>0</v>
      </c>
      <c r="F129" s="245">
        <f t="shared" si="42"/>
        <v>69</v>
      </c>
      <c r="G129" s="250"/>
      <c r="H129" s="248">
        <f>$G129*B129*160/100</f>
        <v>0</v>
      </c>
      <c r="I129" s="202">
        <f>$G129*C129*160/100</f>
        <v>0</v>
      </c>
      <c r="J129" s="202">
        <f>$G129*D129*160/100</f>
        <v>0</v>
      </c>
      <c r="K129" s="168">
        <f t="shared" si="41"/>
        <v>0</v>
      </c>
      <c r="L129" s="170">
        <f t="shared" si="28"/>
        <v>0</v>
      </c>
      <c r="M129" s="173">
        <f>$G129*F129*160/100</f>
        <v>0</v>
      </c>
      <c r="N129" s="47"/>
      <c r="O129" s="58"/>
      <c r="P129" s="58"/>
      <c r="Q129" s="58"/>
      <c r="R129" s="58"/>
      <c r="S129" s="58"/>
      <c r="T129" s="58"/>
    </row>
    <row r="130" spans="1:20" x14ac:dyDescent="0.2">
      <c r="A130" s="161" t="s">
        <v>224</v>
      </c>
      <c r="B130" s="163">
        <v>5</v>
      </c>
      <c r="C130" s="163">
        <v>35</v>
      </c>
      <c r="D130" s="163">
        <v>20</v>
      </c>
      <c r="E130" s="197">
        <v>0</v>
      </c>
      <c r="F130" s="245">
        <f t="shared" si="42"/>
        <v>40</v>
      </c>
      <c r="G130" s="131">
        <v>0.5</v>
      </c>
      <c r="H130" s="166">
        <f>$G130*B130*100/100</f>
        <v>2.5</v>
      </c>
      <c r="I130" s="167">
        <f>$G130*C130*100/100</f>
        <v>17.5</v>
      </c>
      <c r="J130" s="167">
        <f>$G130*D130*100/100</f>
        <v>10</v>
      </c>
      <c r="K130" s="168">
        <f t="shared" si="41"/>
        <v>866.75</v>
      </c>
      <c r="L130" s="170">
        <f t="shared" si="28"/>
        <v>0</v>
      </c>
      <c r="M130" s="173">
        <f>$G130*F130*150/100</f>
        <v>30</v>
      </c>
    </row>
    <row r="131" spans="1:20" x14ac:dyDescent="0.2">
      <c r="A131" s="161" t="s">
        <v>225</v>
      </c>
      <c r="B131" s="202">
        <v>0</v>
      </c>
      <c r="C131" s="202">
        <v>4</v>
      </c>
      <c r="D131" s="202">
        <v>21</v>
      </c>
      <c r="E131" s="197">
        <v>0</v>
      </c>
      <c r="F131" s="245">
        <f t="shared" si="42"/>
        <v>75</v>
      </c>
      <c r="G131" s="256"/>
      <c r="H131" s="248">
        <f>$G131*B131*190/100</f>
        <v>0</v>
      </c>
      <c r="I131" s="202">
        <f>$G131*C131*190/100</f>
        <v>0</v>
      </c>
      <c r="J131" s="202">
        <f>$G131*D131*190/100</f>
        <v>0</v>
      </c>
      <c r="K131" s="168">
        <f t="shared" si="41"/>
        <v>0</v>
      </c>
      <c r="L131" s="170">
        <f t="shared" si="28"/>
        <v>0</v>
      </c>
      <c r="M131" s="202">
        <f>$G131*F131*190/100</f>
        <v>0</v>
      </c>
    </row>
    <row r="132" spans="1:20" x14ac:dyDescent="0.2">
      <c r="A132" s="161" t="s">
        <v>226</v>
      </c>
      <c r="B132" s="163">
        <v>3</v>
      </c>
      <c r="C132" s="163">
        <v>22</v>
      </c>
      <c r="D132" s="163">
        <v>20</v>
      </c>
      <c r="E132" s="197">
        <v>0</v>
      </c>
      <c r="F132" s="245">
        <f t="shared" si="42"/>
        <v>55</v>
      </c>
      <c r="G132" s="131"/>
      <c r="H132" s="166">
        <f>$G132*B132*120/100</f>
        <v>0</v>
      </c>
      <c r="I132" s="167">
        <f>$G132*C132*120/100</f>
        <v>0</v>
      </c>
      <c r="J132" s="167">
        <f>$G132*D132*120/100</f>
        <v>0</v>
      </c>
      <c r="K132" s="168">
        <f t="shared" si="41"/>
        <v>0</v>
      </c>
      <c r="L132" s="170">
        <f t="shared" si="28"/>
        <v>0</v>
      </c>
      <c r="M132" s="173">
        <f>$G132*F132*120/100</f>
        <v>0</v>
      </c>
    </row>
    <row r="133" spans="1:20" x14ac:dyDescent="0.2">
      <c r="A133" s="161" t="s">
        <v>227</v>
      </c>
      <c r="B133" s="202">
        <v>0</v>
      </c>
      <c r="C133" s="202">
        <v>13</v>
      </c>
      <c r="D133" s="202">
        <v>22</v>
      </c>
      <c r="E133" s="197">
        <v>0</v>
      </c>
      <c r="F133" s="245">
        <f t="shared" si="42"/>
        <v>65</v>
      </c>
      <c r="G133" s="256">
        <v>1</v>
      </c>
      <c r="H133" s="248">
        <f>$G133*B133*150/100</f>
        <v>0</v>
      </c>
      <c r="I133" s="202">
        <f>$G133*C133*150/100</f>
        <v>19.5</v>
      </c>
      <c r="J133" s="202">
        <f>$G133*D133*150/100</f>
        <v>33</v>
      </c>
      <c r="K133" s="168">
        <f t="shared" si="41"/>
        <v>1284.3000000000002</v>
      </c>
      <c r="L133" s="170">
        <f t="shared" si="28"/>
        <v>0</v>
      </c>
      <c r="M133" s="202">
        <f>$G133*F133*150/100</f>
        <v>97.5</v>
      </c>
    </row>
    <row r="134" spans="1:20" x14ac:dyDescent="0.2">
      <c r="A134" s="161" t="s">
        <v>228</v>
      </c>
      <c r="B134" s="202">
        <v>0</v>
      </c>
      <c r="C134" s="202">
        <v>12.5</v>
      </c>
      <c r="D134" s="202">
        <v>20</v>
      </c>
      <c r="E134" s="197">
        <v>0</v>
      </c>
      <c r="F134" s="245">
        <f t="shared" si="42"/>
        <v>67.5</v>
      </c>
      <c r="G134" s="256"/>
      <c r="H134" s="248">
        <f>$G134*B134*160/100</f>
        <v>0</v>
      </c>
      <c r="I134" s="202">
        <f>$G134*C134*160/100</f>
        <v>0</v>
      </c>
      <c r="J134" s="202">
        <f>$G134*D134*160/100</f>
        <v>0</v>
      </c>
      <c r="K134" s="168">
        <f t="shared" si="41"/>
        <v>0</v>
      </c>
      <c r="L134" s="170">
        <f t="shared" si="28"/>
        <v>0</v>
      </c>
      <c r="M134" s="202">
        <f>$G134*F134*160/100</f>
        <v>0</v>
      </c>
    </row>
    <row r="135" spans="1:20" x14ac:dyDescent="0.2">
      <c r="A135" s="161" t="s">
        <v>229</v>
      </c>
      <c r="B135" s="225">
        <v>1</v>
      </c>
      <c r="C135" s="225">
        <v>38</v>
      </c>
      <c r="D135" s="225">
        <v>15</v>
      </c>
      <c r="E135" s="197">
        <v>0</v>
      </c>
      <c r="F135" s="245">
        <f t="shared" si="42"/>
        <v>46</v>
      </c>
      <c r="G135" s="250"/>
      <c r="H135" s="248">
        <f>$G135*B135*60/100</f>
        <v>0</v>
      </c>
      <c r="I135" s="202">
        <f>$G135*C135*60/100</f>
        <v>0</v>
      </c>
      <c r="J135" s="202">
        <f>$G135*D135*60/100</f>
        <v>0</v>
      </c>
      <c r="K135" s="168">
        <f t="shared" si="41"/>
        <v>0</v>
      </c>
      <c r="L135" s="170">
        <f t="shared" si="28"/>
        <v>0</v>
      </c>
      <c r="M135" s="173">
        <f>$G135*F135*60/100</f>
        <v>0</v>
      </c>
    </row>
    <row r="136" spans="1:20" x14ac:dyDescent="0.2">
      <c r="A136" s="161" t="s">
        <v>230</v>
      </c>
      <c r="B136" s="225">
        <v>0</v>
      </c>
      <c r="C136" s="225">
        <v>3.1</v>
      </c>
      <c r="D136" s="225">
        <v>1.5</v>
      </c>
      <c r="E136" s="197">
        <v>0</v>
      </c>
      <c r="F136" s="245">
        <f t="shared" si="42"/>
        <v>95.4</v>
      </c>
      <c r="G136" s="250"/>
      <c r="H136" s="248">
        <f>$G136*B136*15/100</f>
        <v>0</v>
      </c>
      <c r="I136" s="202">
        <f>$G136*C136*15/100</f>
        <v>0</v>
      </c>
      <c r="J136" s="202">
        <f>$G136*D136*15/100</f>
        <v>0</v>
      </c>
      <c r="K136" s="168">
        <f t="shared" si="41"/>
        <v>0</v>
      </c>
      <c r="L136" s="170">
        <f t="shared" si="28"/>
        <v>0</v>
      </c>
      <c r="M136" s="173">
        <f>$G136*F136*15/100</f>
        <v>0</v>
      </c>
    </row>
    <row r="137" spans="1:20" x14ac:dyDescent="0.2">
      <c r="A137" s="201" t="s">
        <v>231</v>
      </c>
      <c r="B137" s="202">
        <v>0</v>
      </c>
      <c r="C137" s="202">
        <v>35</v>
      </c>
      <c r="D137" s="202">
        <v>24</v>
      </c>
      <c r="E137" s="197">
        <v>0</v>
      </c>
      <c r="F137" s="245">
        <f t="shared" si="42"/>
        <v>41</v>
      </c>
      <c r="G137" s="250"/>
      <c r="H137" s="248">
        <f>$G137*B137*80/100</f>
        <v>0</v>
      </c>
      <c r="I137" s="202">
        <f>$G137*C137*80/100</f>
        <v>0</v>
      </c>
      <c r="J137" s="202">
        <f>$G137*D137*80/100</f>
        <v>0</v>
      </c>
      <c r="K137" s="168">
        <f t="shared" si="41"/>
        <v>0</v>
      </c>
      <c r="L137" s="170">
        <f t="shared" si="28"/>
        <v>0</v>
      </c>
      <c r="M137" s="173">
        <f>$G137*F137*80/100</f>
        <v>0</v>
      </c>
    </row>
    <row r="138" spans="1:20" x14ac:dyDescent="0.2">
      <c r="A138" s="161" t="s">
        <v>232</v>
      </c>
      <c r="B138" s="225">
        <v>0</v>
      </c>
      <c r="C138" s="225">
        <v>5.6</v>
      </c>
      <c r="D138" s="225">
        <v>22</v>
      </c>
      <c r="E138" s="197">
        <v>0</v>
      </c>
      <c r="F138" s="245">
        <f t="shared" si="42"/>
        <v>72.400000000000006</v>
      </c>
      <c r="G138" s="256"/>
      <c r="H138" s="248">
        <f>$G138*B138*150/100</f>
        <v>0</v>
      </c>
      <c r="I138" s="202">
        <f>$G138*C138*150/100</f>
        <v>0</v>
      </c>
      <c r="J138" s="202">
        <f>$G138*D138*150/100</f>
        <v>0</v>
      </c>
      <c r="K138" s="168">
        <f t="shared" si="41"/>
        <v>0</v>
      </c>
      <c r="L138" s="170">
        <f t="shared" si="28"/>
        <v>0</v>
      </c>
      <c r="M138" s="173">
        <f>$G138*F138*150/100</f>
        <v>0</v>
      </c>
    </row>
    <row r="139" spans="1:20" x14ac:dyDescent="0.2">
      <c r="A139" s="161" t="s">
        <v>277</v>
      </c>
      <c r="B139" s="225">
        <v>36</v>
      </c>
      <c r="C139" s="225">
        <v>19</v>
      </c>
      <c r="D139" s="225">
        <v>11</v>
      </c>
      <c r="E139" s="202">
        <v>0.5</v>
      </c>
      <c r="F139" s="245">
        <f t="shared" si="42"/>
        <v>33.5</v>
      </c>
      <c r="G139" s="250"/>
      <c r="H139" s="248">
        <f t="shared" ref="H139:J140" si="44">$G139*B139*250/100</f>
        <v>0</v>
      </c>
      <c r="I139" s="202">
        <f t="shared" si="44"/>
        <v>0</v>
      </c>
      <c r="J139" s="202">
        <f t="shared" si="44"/>
        <v>0</v>
      </c>
      <c r="K139" s="168">
        <f t="shared" si="41"/>
        <v>0</v>
      </c>
      <c r="L139" s="170">
        <f t="shared" si="28"/>
        <v>0</v>
      </c>
      <c r="M139" s="173">
        <f>$G139*F139*250/100</f>
        <v>0</v>
      </c>
    </row>
    <row r="140" spans="1:20" x14ac:dyDescent="0.2">
      <c r="A140" s="161" t="s">
        <v>278</v>
      </c>
      <c r="B140" s="225">
        <v>33</v>
      </c>
      <c r="C140" s="225">
        <v>16</v>
      </c>
      <c r="D140" s="225">
        <v>21</v>
      </c>
      <c r="E140" s="202">
        <v>0.5</v>
      </c>
      <c r="F140" s="245">
        <f t="shared" si="42"/>
        <v>29.5</v>
      </c>
      <c r="G140" s="256"/>
      <c r="H140" s="248">
        <f t="shared" si="44"/>
        <v>0</v>
      </c>
      <c r="I140" s="202">
        <f t="shared" si="44"/>
        <v>0</v>
      </c>
      <c r="J140" s="202">
        <f t="shared" si="44"/>
        <v>0</v>
      </c>
      <c r="K140" s="168">
        <f t="shared" si="41"/>
        <v>0</v>
      </c>
      <c r="L140" s="170">
        <f t="shared" si="28"/>
        <v>0</v>
      </c>
      <c r="M140" s="202">
        <f>$G140*F140*250/100</f>
        <v>0</v>
      </c>
    </row>
    <row r="141" spans="1:20" x14ac:dyDescent="0.2">
      <c r="A141" s="161" t="s">
        <v>279</v>
      </c>
      <c r="B141" s="204">
        <v>1</v>
      </c>
      <c r="C141" s="204">
        <v>11.3</v>
      </c>
      <c r="D141" s="204">
        <v>10.3</v>
      </c>
      <c r="E141" s="203">
        <v>0</v>
      </c>
      <c r="F141" s="245">
        <f t="shared" si="42"/>
        <v>77.400000000000006</v>
      </c>
      <c r="G141" s="250"/>
      <c r="H141" s="248">
        <f>$G141*B141*180/100</f>
        <v>0</v>
      </c>
      <c r="I141" s="202">
        <f>$G141*C141*180/100</f>
        <v>0</v>
      </c>
      <c r="J141" s="202">
        <f>$G141*D141*180/100</f>
        <v>0</v>
      </c>
      <c r="K141" s="168">
        <f t="shared" si="41"/>
        <v>0</v>
      </c>
      <c r="L141" s="170">
        <f t="shared" si="28"/>
        <v>0</v>
      </c>
      <c r="M141" s="173">
        <f>$G141*F141*180/100</f>
        <v>0</v>
      </c>
    </row>
    <row r="142" spans="1:20" x14ac:dyDescent="0.2">
      <c r="A142" s="161" t="s">
        <v>233</v>
      </c>
      <c r="B142" s="163">
        <v>0.75</v>
      </c>
      <c r="C142" s="163">
        <v>11.5</v>
      </c>
      <c r="D142" s="163">
        <v>12.8</v>
      </c>
      <c r="E142" s="203">
        <v>0</v>
      </c>
      <c r="F142" s="245">
        <f t="shared" si="42"/>
        <v>74.95</v>
      </c>
      <c r="G142" s="131"/>
      <c r="H142" s="166">
        <f>$G142*B142*80/100</f>
        <v>0</v>
      </c>
      <c r="I142" s="167">
        <f>$G142*C142*80/100</f>
        <v>0</v>
      </c>
      <c r="J142" s="167">
        <f>$G142*D142*80/100</f>
        <v>0</v>
      </c>
      <c r="K142" s="168">
        <f t="shared" si="41"/>
        <v>0</v>
      </c>
      <c r="L142" s="170">
        <f t="shared" si="28"/>
        <v>0</v>
      </c>
      <c r="M142" s="173">
        <f>$G142*F142*80/100</f>
        <v>0</v>
      </c>
    </row>
    <row r="143" spans="1:20" x14ac:dyDescent="0.2">
      <c r="A143" s="161" t="s">
        <v>234</v>
      </c>
      <c r="B143" s="163">
        <v>0.75</v>
      </c>
      <c r="C143" s="163">
        <v>15</v>
      </c>
      <c r="D143" s="163">
        <v>12.8</v>
      </c>
      <c r="E143" s="203">
        <v>0</v>
      </c>
      <c r="F143" s="245">
        <f t="shared" si="42"/>
        <v>71.45</v>
      </c>
      <c r="G143" s="131"/>
      <c r="H143" s="166">
        <f>$G143*B143*100/100</f>
        <v>0</v>
      </c>
      <c r="I143" s="167">
        <f>$G143*C143*100/100</f>
        <v>0</v>
      </c>
      <c r="J143" s="167">
        <f>$G143*D143*100/100</f>
        <v>0</v>
      </c>
      <c r="K143" s="168">
        <f t="shared" si="41"/>
        <v>0</v>
      </c>
      <c r="L143" s="170">
        <f t="shared" si="28"/>
        <v>0</v>
      </c>
      <c r="M143" s="173">
        <f>$G143*F143*100/100</f>
        <v>0</v>
      </c>
    </row>
    <row r="144" spans="1:20" x14ac:dyDescent="0.2">
      <c r="A144" s="161" t="s">
        <v>698</v>
      </c>
      <c r="B144" s="202">
        <v>0.75</v>
      </c>
      <c r="C144" s="202">
        <v>11.5</v>
      </c>
      <c r="D144" s="202">
        <v>12.8</v>
      </c>
      <c r="E144" s="203">
        <v>0</v>
      </c>
      <c r="F144" s="245">
        <f t="shared" si="42"/>
        <v>74.95</v>
      </c>
      <c r="G144" s="250"/>
      <c r="H144" s="248">
        <f>$G144*B144*80/100</f>
        <v>0</v>
      </c>
      <c r="I144" s="202">
        <f>$G144*C144*80/100</f>
        <v>0</v>
      </c>
      <c r="J144" s="202">
        <f>$G144*D144*80/100</f>
        <v>0</v>
      </c>
      <c r="K144" s="168">
        <f t="shared" si="41"/>
        <v>0</v>
      </c>
      <c r="L144" s="170">
        <f t="shared" si="28"/>
        <v>0</v>
      </c>
      <c r="M144" s="173">
        <f>$G144*F144*80/100</f>
        <v>0</v>
      </c>
    </row>
    <row r="145" spans="1:20" x14ac:dyDescent="0.2">
      <c r="A145" s="201" t="s">
        <v>242</v>
      </c>
      <c r="B145" s="202">
        <v>0</v>
      </c>
      <c r="C145" s="202">
        <v>2.5</v>
      </c>
      <c r="D145" s="202">
        <v>17</v>
      </c>
      <c r="E145" s="203">
        <v>0</v>
      </c>
      <c r="F145" s="245">
        <f t="shared" si="42"/>
        <v>80.5</v>
      </c>
      <c r="G145" s="250"/>
      <c r="H145" s="248">
        <f t="shared" ref="H145:J146" si="45">$G145*B145*150/100</f>
        <v>0</v>
      </c>
      <c r="I145" s="202">
        <f t="shared" si="45"/>
        <v>0</v>
      </c>
      <c r="J145" s="202">
        <f t="shared" si="45"/>
        <v>0</v>
      </c>
      <c r="K145" s="168">
        <f t="shared" si="41"/>
        <v>0</v>
      </c>
      <c r="L145" s="170">
        <f t="shared" si="28"/>
        <v>0</v>
      </c>
      <c r="M145" s="173">
        <f>$G145*F145*150/100</f>
        <v>0</v>
      </c>
    </row>
    <row r="146" spans="1:20" x14ac:dyDescent="0.2">
      <c r="A146" s="234" t="s">
        <v>243</v>
      </c>
      <c r="B146" s="204">
        <v>3.4</v>
      </c>
      <c r="C146" s="204">
        <v>2.7</v>
      </c>
      <c r="D146" s="204">
        <v>11.7</v>
      </c>
      <c r="E146" s="203">
        <v>0</v>
      </c>
      <c r="F146" s="245">
        <f t="shared" si="42"/>
        <v>82.199999999999989</v>
      </c>
      <c r="G146" s="250"/>
      <c r="H146" s="248">
        <f t="shared" si="45"/>
        <v>0</v>
      </c>
      <c r="I146" s="202">
        <f t="shared" si="45"/>
        <v>0</v>
      </c>
      <c r="J146" s="202">
        <f t="shared" si="45"/>
        <v>0</v>
      </c>
      <c r="K146" s="168">
        <f t="shared" si="41"/>
        <v>0</v>
      </c>
      <c r="L146" s="170">
        <f t="shared" si="28"/>
        <v>0</v>
      </c>
      <c r="M146" s="173">
        <f>$G146*F146*150/100</f>
        <v>0</v>
      </c>
    </row>
    <row r="147" spans="1:20" x14ac:dyDescent="0.2">
      <c r="A147" s="201" t="s">
        <v>235</v>
      </c>
      <c r="B147" s="204">
        <v>0.5</v>
      </c>
      <c r="C147" s="204">
        <v>3</v>
      </c>
      <c r="D147" s="204">
        <v>19</v>
      </c>
      <c r="E147" s="203">
        <v>0</v>
      </c>
      <c r="F147" s="245">
        <f t="shared" si="42"/>
        <v>77.5</v>
      </c>
      <c r="G147" s="250"/>
      <c r="H147" s="248">
        <f>$G147*B147*70/100</f>
        <v>0</v>
      </c>
      <c r="I147" s="202">
        <f>$G147*C147*70/100</f>
        <v>0</v>
      </c>
      <c r="J147" s="202">
        <f>$G147*D147*70/100</f>
        <v>0</v>
      </c>
      <c r="K147" s="168">
        <f t="shared" si="41"/>
        <v>0</v>
      </c>
      <c r="L147" s="170">
        <f t="shared" si="28"/>
        <v>0</v>
      </c>
      <c r="M147" s="173">
        <f>$G147*F147*70/100</f>
        <v>0</v>
      </c>
    </row>
    <row r="148" spans="1:20" x14ac:dyDescent="0.2">
      <c r="A148" s="201" t="s">
        <v>241</v>
      </c>
      <c r="B148" s="204">
        <v>0</v>
      </c>
      <c r="C148" s="204">
        <v>3</v>
      </c>
      <c r="D148" s="204">
        <v>16</v>
      </c>
      <c r="E148" s="203">
        <v>0</v>
      </c>
      <c r="F148" s="245">
        <f t="shared" si="42"/>
        <v>81</v>
      </c>
      <c r="G148" s="250"/>
      <c r="H148" s="248">
        <f>$G148*B148*150/100</f>
        <v>0</v>
      </c>
      <c r="I148" s="202">
        <f>$G148*C148*150/100</f>
        <v>0</v>
      </c>
      <c r="J148" s="202">
        <f>$G148*D148*150/100</f>
        <v>0</v>
      </c>
      <c r="K148" s="168">
        <f t="shared" si="41"/>
        <v>0</v>
      </c>
      <c r="L148" s="170">
        <f t="shared" si="28"/>
        <v>0</v>
      </c>
      <c r="M148" s="173">
        <f>$G148*F148*150/100</f>
        <v>0</v>
      </c>
    </row>
    <row r="149" spans="1:20" x14ac:dyDescent="0.2">
      <c r="A149" s="201" t="s">
        <v>236</v>
      </c>
      <c r="B149" s="204">
        <v>4.5</v>
      </c>
      <c r="C149" s="204">
        <v>2.1</v>
      </c>
      <c r="D149" s="204">
        <v>9</v>
      </c>
      <c r="E149" s="203">
        <v>0</v>
      </c>
      <c r="F149" s="245">
        <f t="shared" si="42"/>
        <v>84.4</v>
      </c>
      <c r="G149" s="250"/>
      <c r="H149" s="248">
        <f>$G149*B149*140/100</f>
        <v>0</v>
      </c>
      <c r="I149" s="202">
        <f>$G149*C149*140/100</f>
        <v>0</v>
      </c>
      <c r="J149" s="202">
        <f>$G149*D149*140/100</f>
        <v>0</v>
      </c>
      <c r="K149" s="168">
        <f t="shared" si="41"/>
        <v>0</v>
      </c>
      <c r="L149" s="170">
        <f t="shared" si="28"/>
        <v>0</v>
      </c>
      <c r="M149" s="173">
        <f>$G149*F149*140/100</f>
        <v>0</v>
      </c>
    </row>
    <row r="150" spans="1:20" x14ac:dyDescent="0.2">
      <c r="A150" s="201" t="s">
        <v>237</v>
      </c>
      <c r="B150" s="204">
        <v>0</v>
      </c>
      <c r="C150" s="204">
        <v>10.5</v>
      </c>
      <c r="D150" s="204">
        <v>22.6</v>
      </c>
      <c r="E150" s="203">
        <v>0</v>
      </c>
      <c r="F150" s="245">
        <f t="shared" si="42"/>
        <v>66.900000000000006</v>
      </c>
      <c r="G150" s="250"/>
      <c r="H150" s="248">
        <f>$G150*B150*60/100</f>
        <v>0</v>
      </c>
      <c r="I150" s="202">
        <f>$G150*C150*60/100</f>
        <v>0</v>
      </c>
      <c r="J150" s="202">
        <f>$G150*D150*60/100</f>
        <v>0</v>
      </c>
      <c r="K150" s="168">
        <f t="shared" si="41"/>
        <v>0</v>
      </c>
      <c r="L150" s="170">
        <f t="shared" si="28"/>
        <v>0</v>
      </c>
      <c r="M150" s="173">
        <f>$G150*F150*60/100</f>
        <v>0</v>
      </c>
    </row>
    <row r="151" spans="1:20" s="194" customFormat="1" x14ac:dyDescent="0.2">
      <c r="A151" s="201" t="s">
        <v>238</v>
      </c>
      <c r="B151" s="204">
        <v>0</v>
      </c>
      <c r="C151" s="204">
        <v>11</v>
      </c>
      <c r="D151" s="204">
        <v>20</v>
      </c>
      <c r="E151" s="203">
        <v>0</v>
      </c>
      <c r="F151" s="245">
        <f t="shared" si="42"/>
        <v>69</v>
      </c>
      <c r="G151" s="250"/>
      <c r="H151" s="248">
        <f>$G151*B151*120/100</f>
        <v>0</v>
      </c>
      <c r="I151" s="202">
        <f>$G151*C151*120/100</f>
        <v>0</v>
      </c>
      <c r="J151" s="202">
        <f>$G151*D151*120/100</f>
        <v>0</v>
      </c>
      <c r="K151" s="168">
        <f t="shared" si="41"/>
        <v>0</v>
      </c>
      <c r="L151" s="170">
        <f t="shared" ref="L151:L172" si="46">$G151*E151*100/100</f>
        <v>0</v>
      </c>
      <c r="M151" s="173">
        <f>$G151*F151*120/100</f>
        <v>0</v>
      </c>
      <c r="N151" s="193"/>
      <c r="O151" s="196"/>
      <c r="P151" s="196"/>
      <c r="Q151" s="196"/>
      <c r="R151" s="196"/>
      <c r="S151" s="196"/>
      <c r="T151" s="196"/>
    </row>
    <row r="152" spans="1:20" x14ac:dyDescent="0.2">
      <c r="A152" s="201" t="s">
        <v>239</v>
      </c>
      <c r="B152" s="204">
        <v>0</v>
      </c>
      <c r="C152" s="204">
        <v>3.6</v>
      </c>
      <c r="D152" s="204">
        <v>22.4</v>
      </c>
      <c r="E152" s="203">
        <v>0</v>
      </c>
      <c r="F152" s="245">
        <f t="shared" si="42"/>
        <v>74</v>
      </c>
      <c r="G152" s="250"/>
      <c r="H152" s="248">
        <f>$G152*B152*200/100</f>
        <v>0</v>
      </c>
      <c r="I152" s="202">
        <f>$G152*C152*200/100</f>
        <v>0</v>
      </c>
      <c r="J152" s="202">
        <f>$G152*D152*200/100</f>
        <v>0</v>
      </c>
      <c r="K152" s="168">
        <f t="shared" si="41"/>
        <v>0</v>
      </c>
      <c r="L152" s="170">
        <f t="shared" si="46"/>
        <v>0</v>
      </c>
      <c r="M152" s="173">
        <f>$G152*F152*200/100</f>
        <v>0</v>
      </c>
    </row>
    <row r="153" spans="1:20" ht="13.5" thickBot="1" x14ac:dyDescent="0.25">
      <c r="A153" s="232" t="s">
        <v>240</v>
      </c>
      <c r="B153" s="229">
        <v>1.2</v>
      </c>
      <c r="C153" s="229">
        <v>11</v>
      </c>
      <c r="D153" s="229">
        <v>26.7</v>
      </c>
      <c r="E153" s="203">
        <v>0</v>
      </c>
      <c r="F153" s="245">
        <f t="shared" si="42"/>
        <v>61.099999999999994</v>
      </c>
      <c r="G153" s="251"/>
      <c r="H153" s="254">
        <f>$G153*B153*80/100</f>
        <v>0</v>
      </c>
      <c r="I153" s="229">
        <f>$G153*C153*80/100</f>
        <v>0</v>
      </c>
      <c r="J153" s="229">
        <f>$G153*D153*80/100</f>
        <v>0</v>
      </c>
      <c r="K153" s="230">
        <f t="shared" si="41"/>
        <v>0</v>
      </c>
      <c r="L153" s="170">
        <f t="shared" si="46"/>
        <v>0</v>
      </c>
      <c r="M153" s="176">
        <f>$G153*F153*80/100</f>
        <v>0</v>
      </c>
    </row>
    <row r="154" spans="1:20" ht="13.5" thickBot="1" x14ac:dyDescent="0.25">
      <c r="A154" s="210" t="s">
        <v>284</v>
      </c>
      <c r="B154" s="211"/>
      <c r="C154" s="211"/>
      <c r="D154" s="211"/>
      <c r="E154" s="207"/>
      <c r="F154" s="211"/>
      <c r="G154" s="208"/>
      <c r="H154" s="211"/>
      <c r="I154" s="211"/>
      <c r="J154" s="211"/>
      <c r="K154" s="211"/>
      <c r="L154" s="211"/>
      <c r="M154" s="209"/>
    </row>
    <row r="155" spans="1:20" x14ac:dyDescent="0.2">
      <c r="A155" s="224" t="s">
        <v>218</v>
      </c>
      <c r="B155" s="170">
        <v>0.5</v>
      </c>
      <c r="C155" s="170">
        <v>84</v>
      </c>
      <c r="D155" s="170">
        <v>0.5</v>
      </c>
      <c r="E155" s="170">
        <v>0</v>
      </c>
      <c r="F155" s="246">
        <f>100-B155-C155-D155-E155</f>
        <v>15</v>
      </c>
      <c r="G155" s="255"/>
      <c r="H155" s="253">
        <f>$G155*B155*10/100</f>
        <v>0</v>
      </c>
      <c r="I155" s="233">
        <f>$G155*C155*10/100</f>
        <v>0</v>
      </c>
      <c r="J155" s="233">
        <f>$G155*D155*10/100</f>
        <v>0</v>
      </c>
      <c r="K155" s="200">
        <f t="shared" ref="K155:K163" si="47">H155*16.7+I155*37.6+J155*16.7</f>
        <v>0</v>
      </c>
      <c r="L155" s="170">
        <f t="shared" si="46"/>
        <v>0</v>
      </c>
      <c r="M155" s="170">
        <f>$G155*F155*10/100</f>
        <v>0</v>
      </c>
    </row>
    <row r="156" spans="1:20" x14ac:dyDescent="0.2">
      <c r="A156" s="161" t="s">
        <v>358</v>
      </c>
      <c r="B156" s="202">
        <v>0</v>
      </c>
      <c r="C156" s="202">
        <v>99</v>
      </c>
      <c r="D156" s="202">
        <v>0</v>
      </c>
      <c r="E156" s="170">
        <v>0</v>
      </c>
      <c r="F156" s="246">
        <f>100-B156-C156-D156-E156</f>
        <v>1</v>
      </c>
      <c r="G156" s="256">
        <v>2</v>
      </c>
      <c r="H156" s="248">
        <f t="shared" ref="H156:J157" si="48">$G156*B156*15/100</f>
        <v>0</v>
      </c>
      <c r="I156" s="202">
        <f t="shared" si="48"/>
        <v>29.7</v>
      </c>
      <c r="J156" s="202">
        <f t="shared" si="48"/>
        <v>0</v>
      </c>
      <c r="K156" s="168">
        <f t="shared" si="47"/>
        <v>1116.72</v>
      </c>
      <c r="L156" s="170">
        <f t="shared" si="46"/>
        <v>0</v>
      </c>
      <c r="M156" s="202">
        <f>$G156*F156*15/100</f>
        <v>0.3</v>
      </c>
    </row>
    <row r="157" spans="1:20" x14ac:dyDescent="0.2">
      <c r="A157" s="161" t="s">
        <v>155</v>
      </c>
      <c r="B157" s="202">
        <v>0.2</v>
      </c>
      <c r="C157" s="202">
        <v>86</v>
      </c>
      <c r="D157" s="202">
        <v>1</v>
      </c>
      <c r="E157" s="170">
        <v>0</v>
      </c>
      <c r="F157" s="246">
        <f t="shared" ref="F157:F172" si="49">100-B157-C157-D157-E157</f>
        <v>12.799999999999997</v>
      </c>
      <c r="G157" s="256"/>
      <c r="H157" s="248">
        <f t="shared" si="48"/>
        <v>0</v>
      </c>
      <c r="I157" s="202">
        <f t="shared" si="48"/>
        <v>0</v>
      </c>
      <c r="J157" s="202">
        <f t="shared" si="48"/>
        <v>0</v>
      </c>
      <c r="K157" s="168">
        <f t="shared" si="47"/>
        <v>0</v>
      </c>
      <c r="L157" s="170">
        <f t="shared" si="46"/>
        <v>0</v>
      </c>
      <c r="M157" s="202">
        <f>$G157*F157*15/100</f>
        <v>0</v>
      </c>
    </row>
    <row r="158" spans="1:20" x14ac:dyDescent="0.2">
      <c r="A158" s="226" t="s">
        <v>217</v>
      </c>
      <c r="B158" s="229">
        <v>3</v>
      </c>
      <c r="C158" s="229">
        <v>81</v>
      </c>
      <c r="D158" s="229">
        <v>3</v>
      </c>
      <c r="E158" s="170">
        <v>0</v>
      </c>
      <c r="F158" s="246">
        <f t="shared" si="49"/>
        <v>13</v>
      </c>
      <c r="G158" s="257"/>
      <c r="H158" s="248">
        <f>$G158*B158*10/100</f>
        <v>0</v>
      </c>
      <c r="I158" s="202">
        <f>$G158*C158*10/100</f>
        <v>0</v>
      </c>
      <c r="J158" s="202">
        <f>$G158*D158*10/100</f>
        <v>0</v>
      </c>
      <c r="K158" s="168">
        <f t="shared" si="47"/>
        <v>0</v>
      </c>
      <c r="L158" s="170">
        <f t="shared" si="46"/>
        <v>0</v>
      </c>
      <c r="M158" s="202">
        <f>$G158*F158*10/100</f>
        <v>0</v>
      </c>
      <c r="O158" s="49"/>
      <c r="P158" s="49"/>
      <c r="Q158" s="49"/>
      <c r="R158" s="49"/>
      <c r="S158" s="49"/>
      <c r="T158" s="49"/>
    </row>
    <row r="159" spans="1:20" x14ac:dyDescent="0.2">
      <c r="A159" s="201" t="s">
        <v>216</v>
      </c>
      <c r="B159" s="202">
        <v>3</v>
      </c>
      <c r="C159" s="202">
        <v>78</v>
      </c>
      <c r="D159" s="202">
        <v>2</v>
      </c>
      <c r="E159" s="170">
        <v>0</v>
      </c>
      <c r="F159" s="246">
        <f t="shared" si="49"/>
        <v>17</v>
      </c>
      <c r="G159" s="256"/>
      <c r="H159" s="248">
        <f>$G159*B159*15/100</f>
        <v>0</v>
      </c>
      <c r="I159" s="202">
        <f>$G159*C159*15/100</f>
        <v>0</v>
      </c>
      <c r="J159" s="202">
        <f>$G159*D159*15/100</f>
        <v>0</v>
      </c>
      <c r="K159" s="168">
        <f t="shared" si="47"/>
        <v>0</v>
      </c>
      <c r="L159" s="170">
        <f t="shared" si="46"/>
        <v>0</v>
      </c>
      <c r="M159" s="202">
        <f>$G159*F159*15/100</f>
        <v>0</v>
      </c>
      <c r="O159" s="49"/>
      <c r="P159" s="49"/>
      <c r="Q159" s="49"/>
      <c r="R159" s="49"/>
      <c r="S159" s="49"/>
      <c r="T159" s="49"/>
    </row>
    <row r="160" spans="1:20" x14ac:dyDescent="0.2">
      <c r="A160" s="201" t="s">
        <v>156</v>
      </c>
      <c r="B160" s="202">
        <v>0</v>
      </c>
      <c r="C160" s="202">
        <v>10</v>
      </c>
      <c r="D160" s="202">
        <v>0</v>
      </c>
      <c r="E160" s="170">
        <v>0</v>
      </c>
      <c r="F160" s="246">
        <f t="shared" si="49"/>
        <v>90</v>
      </c>
      <c r="G160" s="256"/>
      <c r="H160" s="248">
        <f>$G160*B160*5/100</f>
        <v>0</v>
      </c>
      <c r="I160" s="202">
        <f>$G160*C160*5/100</f>
        <v>0</v>
      </c>
      <c r="J160" s="202">
        <f>$G160*D160*5/100</f>
        <v>0</v>
      </c>
      <c r="K160" s="168">
        <f t="shared" si="47"/>
        <v>0</v>
      </c>
      <c r="L160" s="170">
        <f t="shared" si="46"/>
        <v>0</v>
      </c>
      <c r="M160" s="202">
        <f>$G160*F160*5/100</f>
        <v>0</v>
      </c>
      <c r="O160" s="49"/>
      <c r="P160" s="49"/>
      <c r="Q160" s="49"/>
      <c r="R160" s="49"/>
      <c r="S160" s="49"/>
      <c r="T160" s="49"/>
    </row>
    <row r="161" spans="1:20" s="194" customFormat="1" x14ac:dyDescent="0.2">
      <c r="A161" s="161" t="s">
        <v>215</v>
      </c>
      <c r="B161" s="235">
        <v>25</v>
      </c>
      <c r="C161" s="235">
        <v>0.1</v>
      </c>
      <c r="D161" s="235">
        <v>0.4</v>
      </c>
      <c r="E161" s="228">
        <v>0.1</v>
      </c>
      <c r="F161" s="246">
        <f t="shared" si="49"/>
        <v>74.400000000000006</v>
      </c>
      <c r="G161" s="257"/>
      <c r="H161" s="254">
        <f>$G161*B161*10/100</f>
        <v>0</v>
      </c>
      <c r="I161" s="229">
        <f>$G161*C161*10/100</f>
        <v>0</v>
      </c>
      <c r="J161" s="229">
        <f>$G161*D161*10/100</f>
        <v>0</v>
      </c>
      <c r="K161" s="168">
        <f t="shared" si="47"/>
        <v>0</v>
      </c>
      <c r="L161" s="170">
        <f t="shared" si="46"/>
        <v>0</v>
      </c>
      <c r="M161" s="229">
        <f>$G161*F161*10/100</f>
        <v>0</v>
      </c>
      <c r="N161" s="193"/>
      <c r="O161" s="196"/>
      <c r="P161" s="196"/>
      <c r="Q161" s="196"/>
      <c r="R161" s="196"/>
      <c r="S161" s="196"/>
      <c r="T161" s="196"/>
    </row>
    <row r="162" spans="1:20" x14ac:dyDescent="0.2">
      <c r="A162" s="374" t="s">
        <v>214</v>
      </c>
      <c r="B162" s="235">
        <v>13.9</v>
      </c>
      <c r="C162" s="235">
        <v>4.58</v>
      </c>
      <c r="D162" s="235">
        <v>3.63</v>
      </c>
      <c r="E162" s="228">
        <v>0.4</v>
      </c>
      <c r="F162" s="246">
        <f t="shared" si="49"/>
        <v>77.489999999999995</v>
      </c>
      <c r="G162" s="257"/>
      <c r="H162" s="254">
        <f t="shared" ref="H162:J163" si="50">$G162*B162*30/100</f>
        <v>0</v>
      </c>
      <c r="I162" s="229">
        <f t="shared" si="50"/>
        <v>0</v>
      </c>
      <c r="J162" s="229">
        <f t="shared" si="50"/>
        <v>0</v>
      </c>
      <c r="K162" s="168">
        <f t="shared" si="47"/>
        <v>0</v>
      </c>
      <c r="L162" s="170">
        <f t="shared" si="46"/>
        <v>0</v>
      </c>
      <c r="M162" s="229">
        <f>$G162*F162*30/100</f>
        <v>0</v>
      </c>
    </row>
    <row r="163" spans="1:20" ht="13.5" thickBot="1" x14ac:dyDescent="0.25">
      <c r="A163" s="237" t="s">
        <v>355</v>
      </c>
      <c r="B163" s="235">
        <v>5</v>
      </c>
      <c r="C163" s="235">
        <v>2</v>
      </c>
      <c r="D163" s="235">
        <v>3.5</v>
      </c>
      <c r="E163" s="228">
        <v>0</v>
      </c>
      <c r="F163" s="246">
        <f t="shared" si="49"/>
        <v>89.5</v>
      </c>
      <c r="G163" s="258"/>
      <c r="H163" s="254">
        <f t="shared" si="50"/>
        <v>0</v>
      </c>
      <c r="I163" s="229">
        <f t="shared" si="50"/>
        <v>0</v>
      </c>
      <c r="J163" s="229">
        <f t="shared" si="50"/>
        <v>0</v>
      </c>
      <c r="K163" s="230">
        <f t="shared" si="47"/>
        <v>0</v>
      </c>
      <c r="L163" s="170">
        <f t="shared" si="46"/>
        <v>0</v>
      </c>
      <c r="M163" s="229">
        <f>$G163*F163*30/100</f>
        <v>0</v>
      </c>
    </row>
    <row r="164" spans="1:20" ht="13.5" thickBot="1" x14ac:dyDescent="0.25">
      <c r="A164" s="205" t="s">
        <v>158</v>
      </c>
      <c r="B164" s="206"/>
      <c r="C164" s="206"/>
      <c r="D164" s="206"/>
      <c r="E164" s="207"/>
      <c r="F164" s="206"/>
      <c r="G164" s="208"/>
      <c r="H164" s="206"/>
      <c r="I164" s="206"/>
      <c r="J164" s="206"/>
      <c r="K164" s="206"/>
      <c r="L164" s="206"/>
      <c r="M164" s="209"/>
    </row>
    <row r="165" spans="1:20" x14ac:dyDescent="0.2">
      <c r="A165" s="197" t="s">
        <v>210</v>
      </c>
      <c r="B165" s="198">
        <v>36</v>
      </c>
      <c r="C165" s="198">
        <v>8</v>
      </c>
      <c r="D165" s="198">
        <v>9.5</v>
      </c>
      <c r="E165" s="199">
        <v>1</v>
      </c>
      <c r="F165" s="245">
        <f t="shared" si="49"/>
        <v>45.5</v>
      </c>
      <c r="G165" s="249"/>
      <c r="H165" s="247">
        <f>$G165*B165*250/100</f>
        <v>0</v>
      </c>
      <c r="I165" s="198">
        <f>$G165*C165*250/100</f>
        <v>0</v>
      </c>
      <c r="J165" s="198">
        <f>$G165*D165*250/100</f>
        <v>0</v>
      </c>
      <c r="K165" s="200">
        <f t="shared" ref="K165:K172" si="51">H165*16.7+I165*37.6+J165*16.7</f>
        <v>0</v>
      </c>
      <c r="L165" s="170">
        <f t="shared" si="46"/>
        <v>0</v>
      </c>
      <c r="M165" s="198">
        <f>$G165*F165*250/100</f>
        <v>0</v>
      </c>
    </row>
    <row r="166" spans="1:20" x14ac:dyDescent="0.2">
      <c r="A166" s="201" t="s">
        <v>209</v>
      </c>
      <c r="B166" s="202">
        <v>18.8</v>
      </c>
      <c r="C166" s="202">
        <v>26.2</v>
      </c>
      <c r="D166" s="202">
        <v>11.6</v>
      </c>
      <c r="E166" s="203">
        <v>0.4</v>
      </c>
      <c r="F166" s="245">
        <f t="shared" si="49"/>
        <v>43</v>
      </c>
      <c r="G166" s="250"/>
      <c r="H166" s="248">
        <f t="shared" ref="H166:J167" si="52">$G166*B166*200/100</f>
        <v>0</v>
      </c>
      <c r="I166" s="202">
        <f t="shared" si="52"/>
        <v>0</v>
      </c>
      <c r="J166" s="202">
        <f t="shared" si="52"/>
        <v>0</v>
      </c>
      <c r="K166" s="168">
        <f t="shared" si="51"/>
        <v>0</v>
      </c>
      <c r="L166" s="170">
        <f t="shared" si="46"/>
        <v>0</v>
      </c>
      <c r="M166" s="202">
        <f>$G166*F166*200/100</f>
        <v>0</v>
      </c>
    </row>
    <row r="167" spans="1:20" x14ac:dyDescent="0.2">
      <c r="A167" s="201" t="s">
        <v>208</v>
      </c>
      <c r="B167" s="202">
        <v>49.9</v>
      </c>
      <c r="C167" s="202">
        <v>7.1</v>
      </c>
      <c r="D167" s="202">
        <v>12.2</v>
      </c>
      <c r="E167" s="203">
        <v>0.2</v>
      </c>
      <c r="F167" s="245">
        <f t="shared" si="49"/>
        <v>30.6</v>
      </c>
      <c r="G167" s="250"/>
      <c r="H167" s="248">
        <f t="shared" si="52"/>
        <v>0</v>
      </c>
      <c r="I167" s="202">
        <f t="shared" si="52"/>
        <v>0</v>
      </c>
      <c r="J167" s="202">
        <f t="shared" si="52"/>
        <v>0</v>
      </c>
      <c r="K167" s="168">
        <f t="shared" si="51"/>
        <v>0</v>
      </c>
      <c r="L167" s="170">
        <f t="shared" si="46"/>
        <v>0</v>
      </c>
      <c r="M167" s="202">
        <f>$G167*F167*200/100</f>
        <v>0</v>
      </c>
    </row>
    <row r="168" spans="1:20" x14ac:dyDescent="0.2">
      <c r="A168" s="201" t="s">
        <v>310</v>
      </c>
      <c r="B168" s="202">
        <v>9.19</v>
      </c>
      <c r="C168" s="202">
        <v>6</v>
      </c>
      <c r="D168" s="202">
        <v>8.17</v>
      </c>
      <c r="E168" s="203">
        <v>0.5</v>
      </c>
      <c r="F168" s="245">
        <f t="shared" si="49"/>
        <v>76.14</v>
      </c>
      <c r="G168" s="250"/>
      <c r="H168" s="248">
        <f>$G168*B168*300/100</f>
        <v>0</v>
      </c>
      <c r="I168" s="202">
        <f>$G168*C168*300/100</f>
        <v>0</v>
      </c>
      <c r="J168" s="202">
        <f>$G168*D168*300/100</f>
        <v>0</v>
      </c>
      <c r="K168" s="168">
        <f t="shared" si="51"/>
        <v>0</v>
      </c>
      <c r="L168" s="170">
        <f t="shared" si="46"/>
        <v>0</v>
      </c>
      <c r="M168" s="202">
        <f>$G168*F168*200/100</f>
        <v>0</v>
      </c>
    </row>
    <row r="169" spans="1:20" x14ac:dyDescent="0.2">
      <c r="A169" s="201" t="s">
        <v>197</v>
      </c>
      <c r="B169" s="202">
        <v>28.6</v>
      </c>
      <c r="C169" s="202">
        <v>15.8</v>
      </c>
      <c r="D169" s="202">
        <v>7.2</v>
      </c>
      <c r="E169" s="203">
        <v>0</v>
      </c>
      <c r="F169" s="245">
        <f t="shared" si="49"/>
        <v>48.400000000000006</v>
      </c>
      <c r="G169" s="250"/>
      <c r="H169" s="248">
        <f>$G169*B169*150/100</f>
        <v>0</v>
      </c>
      <c r="I169" s="202">
        <f>$G169*C169*150/100</f>
        <v>0</v>
      </c>
      <c r="J169" s="202">
        <f>$G169*D169*150/100</f>
        <v>0</v>
      </c>
      <c r="K169" s="168">
        <f t="shared" si="51"/>
        <v>0</v>
      </c>
      <c r="L169" s="170">
        <f t="shared" si="46"/>
        <v>0</v>
      </c>
      <c r="M169" s="202">
        <f>$G169*F169*150/100</f>
        <v>0</v>
      </c>
      <c r="N169" s="57"/>
    </row>
    <row r="170" spans="1:20" x14ac:dyDescent="0.2">
      <c r="A170" s="161" t="s">
        <v>207</v>
      </c>
      <c r="B170" s="202">
        <v>4.8</v>
      </c>
      <c r="C170" s="201">
        <v>20</v>
      </c>
      <c r="D170" s="202">
        <v>12</v>
      </c>
      <c r="E170" s="203">
        <v>0.7</v>
      </c>
      <c r="F170" s="245">
        <f t="shared" si="49"/>
        <v>62.5</v>
      </c>
      <c r="G170" s="250"/>
      <c r="H170" s="248">
        <f t="shared" ref="H170:J170" si="53">$G170*B170*300/100</f>
        <v>0</v>
      </c>
      <c r="I170" s="202">
        <f t="shared" si="53"/>
        <v>0</v>
      </c>
      <c r="J170" s="202">
        <f t="shared" si="53"/>
        <v>0</v>
      </c>
      <c r="K170" s="168">
        <f t="shared" si="51"/>
        <v>0</v>
      </c>
      <c r="L170" s="170">
        <f t="shared" si="46"/>
        <v>0</v>
      </c>
      <c r="M170" s="202">
        <f>$G170*F170*300/100</f>
        <v>0</v>
      </c>
      <c r="N170" s="73"/>
    </row>
    <row r="171" spans="1:20" x14ac:dyDescent="0.2">
      <c r="A171" s="161" t="s">
        <v>673</v>
      </c>
      <c r="B171" s="202">
        <v>25</v>
      </c>
      <c r="C171" s="201">
        <v>6</v>
      </c>
      <c r="D171" s="202">
        <v>12.3</v>
      </c>
      <c r="E171" s="203">
        <v>1.7</v>
      </c>
      <c r="F171" s="246">
        <f t="shared" ref="F171" si="54">100-B171-C171-D171</f>
        <v>56.7</v>
      </c>
      <c r="G171" s="250"/>
      <c r="H171" s="248">
        <f>$G171*B171*70/100</f>
        <v>0</v>
      </c>
      <c r="I171" s="202">
        <f>$G171*C171*70/100</f>
        <v>0</v>
      </c>
      <c r="J171" s="202">
        <f>$G171*D171*70/100</f>
        <v>0</v>
      </c>
      <c r="K171" s="168">
        <f t="shared" si="51"/>
        <v>0</v>
      </c>
      <c r="L171" s="170">
        <f t="shared" si="46"/>
        <v>0</v>
      </c>
      <c r="M171" s="202">
        <f>$G171*F171*80/100</f>
        <v>0</v>
      </c>
    </row>
    <row r="172" spans="1:20" ht="13.5" thickBot="1" x14ac:dyDescent="0.25">
      <c r="A172" s="161" t="s">
        <v>154</v>
      </c>
      <c r="B172" s="204">
        <v>44</v>
      </c>
      <c r="C172" s="204">
        <v>32.5</v>
      </c>
      <c r="D172" s="204">
        <v>22.5</v>
      </c>
      <c r="E172" s="203">
        <v>0.2</v>
      </c>
      <c r="F172" s="245">
        <f t="shared" si="49"/>
        <v>0.8</v>
      </c>
      <c r="G172" s="251"/>
      <c r="H172" s="248">
        <f>$G172*B172*250/100</f>
        <v>0</v>
      </c>
      <c r="I172" s="202">
        <f>$G172*C172*250/100</f>
        <v>0</v>
      </c>
      <c r="J172" s="202">
        <f>$G172*D172*250/100</f>
        <v>0</v>
      </c>
      <c r="K172" s="168">
        <f t="shared" si="51"/>
        <v>0</v>
      </c>
      <c r="L172" s="170">
        <f t="shared" si="46"/>
        <v>0</v>
      </c>
      <c r="M172" s="202">
        <f>$G172*F172*250/100</f>
        <v>0</v>
      </c>
    </row>
    <row r="173" spans="1:20" x14ac:dyDescent="0.2">
      <c r="A173" s="371" t="s">
        <v>313</v>
      </c>
      <c r="B173" s="372"/>
      <c r="C173" s="372"/>
      <c r="D173" s="70"/>
      <c r="E173" s="71"/>
      <c r="F173" s="70"/>
      <c r="G173" s="72"/>
      <c r="H173" s="70"/>
      <c r="I173" s="70"/>
      <c r="J173" s="70"/>
      <c r="K173" s="70"/>
      <c r="L173" s="70"/>
      <c r="M173" s="70"/>
    </row>
    <row r="174" spans="1:20" ht="13.5" thickBot="1" x14ac:dyDescent="0.25">
      <c r="A174" s="371" t="s">
        <v>311</v>
      </c>
      <c r="B174" s="372" t="s">
        <v>8</v>
      </c>
      <c r="C174" s="372" t="s">
        <v>9</v>
      </c>
      <c r="D174" s="372" t="s">
        <v>10</v>
      </c>
      <c r="E174" s="611" t="s">
        <v>144</v>
      </c>
      <c r="F174" s="372" t="s">
        <v>117</v>
      </c>
      <c r="G174" s="72"/>
      <c r="H174" s="70"/>
      <c r="I174" s="372" t="s">
        <v>103</v>
      </c>
      <c r="J174" s="70"/>
      <c r="K174" s="70"/>
      <c r="L174" s="70"/>
      <c r="M174" s="70"/>
    </row>
    <row r="175" spans="1:20" ht="13.5" thickBot="1" x14ac:dyDescent="0.25">
      <c r="A175" s="240"/>
      <c r="B175" s="605"/>
      <c r="C175" s="242"/>
      <c r="D175" s="604"/>
      <c r="E175" s="603"/>
      <c r="F175" s="602"/>
      <c r="G175" s="239"/>
      <c r="H175" s="202">
        <f>$G175*B175*E176/100</f>
        <v>0</v>
      </c>
      <c r="I175" s="202">
        <f>$G175*C175*E176/100</f>
        <v>0</v>
      </c>
      <c r="J175" s="202">
        <f>$G175*D175*E176/100</f>
        <v>0</v>
      </c>
      <c r="K175" s="168">
        <f>H175*16.7+I175*37.6+J175*16.7</f>
        <v>0</v>
      </c>
      <c r="L175" s="202">
        <f>$G175*E175*D176/100</f>
        <v>0</v>
      </c>
      <c r="M175" s="202">
        <f>$G175*F175*E176/100</f>
        <v>0</v>
      </c>
    </row>
    <row r="176" spans="1:20" ht="13.5" thickBot="1" x14ac:dyDescent="0.25">
      <c r="A176" s="646" t="s">
        <v>282</v>
      </c>
      <c r="B176" s="646"/>
      <c r="C176" s="646"/>
      <c r="D176" s="647"/>
      <c r="E176" s="244"/>
      <c r="F176" s="70"/>
      <c r="G176" s="72"/>
      <c r="H176" s="370" t="s">
        <v>8</v>
      </c>
      <c r="I176" s="370" t="s">
        <v>9</v>
      </c>
      <c r="J176" s="370" t="s">
        <v>10</v>
      </c>
      <c r="K176" s="370" t="s">
        <v>5</v>
      </c>
      <c r="L176" s="370" t="s">
        <v>144</v>
      </c>
      <c r="M176" s="370" t="s">
        <v>145</v>
      </c>
    </row>
    <row r="177" spans="1:13" x14ac:dyDescent="0.2">
      <c r="A177" s="378" t="s">
        <v>281</v>
      </c>
      <c r="B177" s="70"/>
      <c r="C177" s="70"/>
      <c r="D177" s="70"/>
      <c r="E177" s="71"/>
      <c r="F177" s="70"/>
      <c r="G177" s="72"/>
      <c r="H177" s="238">
        <f>SUM(H2:H175)</f>
        <v>560.77</v>
      </c>
      <c r="I177" s="238">
        <f>SUM(I2:I175)</f>
        <v>224.13</v>
      </c>
      <c r="J177" s="238">
        <f>SUM(J2:J175)</f>
        <v>199.64000000000001</v>
      </c>
      <c r="K177" s="238">
        <f>SUM(K2:K175)</f>
        <v>21126.135000000002</v>
      </c>
      <c r="L177" s="238">
        <f>SUM(L2:L175)</f>
        <v>31.2</v>
      </c>
      <c r="M177" s="238">
        <f>SUM(M4:M12)+SUM(M22:M172)</f>
        <v>4213.5</v>
      </c>
    </row>
  </sheetData>
  <sheetProtection password="F2E4" sheet="1" objects="1" scenarios="1" selectLockedCells="1"/>
  <mergeCells count="9">
    <mergeCell ref="A176:D176"/>
    <mergeCell ref="P21:S23"/>
    <mergeCell ref="A1:A2"/>
    <mergeCell ref="B1:E1"/>
    <mergeCell ref="H1:J1"/>
    <mergeCell ref="P2:S3"/>
    <mergeCell ref="A3:K3"/>
    <mergeCell ref="P7:S18"/>
    <mergeCell ref="K13:M13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34"/>
  <sheetViews>
    <sheetView topLeftCell="A43" workbookViewId="0">
      <selection activeCell="G55" sqref="G55"/>
    </sheetView>
  </sheetViews>
  <sheetFormatPr defaultColWidth="11" defaultRowHeight="12.75" x14ac:dyDescent="0.2"/>
  <cols>
    <col min="1" max="1" width="23.28515625" style="59" customWidth="1"/>
    <col min="2" max="4" width="4.7109375" style="60" customWidth="1"/>
    <col min="5" max="5" width="5.7109375" style="61" bestFit="1" customWidth="1"/>
    <col min="6" max="6" width="6.28515625" style="60" customWidth="1"/>
    <col min="7" max="7" width="9.5703125" style="62" customWidth="1"/>
    <col min="8" max="10" width="5.7109375" style="60" customWidth="1"/>
    <col min="11" max="12" width="7.7109375" style="60" customWidth="1"/>
    <col min="13" max="13" width="6.7109375" style="63" customWidth="1"/>
    <col min="14" max="14" width="0.7109375" style="64" customWidth="1"/>
    <col min="15" max="15" width="3.7109375" style="43" customWidth="1"/>
    <col min="16" max="16" width="19.85546875" style="43" customWidth="1"/>
    <col min="17" max="18" width="11.42578125" style="43" customWidth="1"/>
    <col min="19" max="19" width="7.7109375" style="43" customWidth="1"/>
    <col min="20" max="20" width="4" style="43" customWidth="1"/>
    <col min="21" max="21" width="25" style="1" customWidth="1"/>
    <col min="22" max="16384" width="11" style="1"/>
  </cols>
  <sheetData>
    <row r="1" spans="1:22" ht="18" customHeight="1" thickBot="1" x14ac:dyDescent="0.35">
      <c r="A1" s="640" t="s">
        <v>138</v>
      </c>
      <c r="B1" s="642" t="s">
        <v>141</v>
      </c>
      <c r="C1" s="642"/>
      <c r="D1" s="642"/>
      <c r="E1" s="642"/>
      <c r="F1" s="102"/>
      <c r="G1" s="103" t="s">
        <v>140</v>
      </c>
      <c r="H1" s="643" t="s">
        <v>142</v>
      </c>
      <c r="I1" s="643"/>
      <c r="J1" s="643"/>
      <c r="K1" s="104" t="s">
        <v>143</v>
      </c>
      <c r="L1" s="581" t="s">
        <v>144</v>
      </c>
      <c r="M1" s="105" t="s">
        <v>117</v>
      </c>
      <c r="O1" s="48"/>
      <c r="P1" s="488" t="s">
        <v>373</v>
      </c>
      <c r="Q1" s="48"/>
      <c r="R1" s="48"/>
      <c r="S1" s="48"/>
      <c r="T1" s="48"/>
    </row>
    <row r="2" spans="1:22" ht="12.75" customHeight="1" thickBot="1" x14ac:dyDescent="0.25">
      <c r="A2" s="663"/>
      <c r="B2" s="411" t="s">
        <v>8</v>
      </c>
      <c r="C2" s="412" t="s">
        <v>9</v>
      </c>
      <c r="D2" s="412" t="s">
        <v>10</v>
      </c>
      <c r="E2" s="413" t="s">
        <v>144</v>
      </c>
      <c r="F2" s="109" t="s">
        <v>145</v>
      </c>
      <c r="G2" s="110" t="s">
        <v>139</v>
      </c>
      <c r="H2" s="111" t="s">
        <v>8</v>
      </c>
      <c r="I2" s="414" t="s">
        <v>9</v>
      </c>
      <c r="J2" s="415" t="s">
        <v>10</v>
      </c>
      <c r="K2" s="416" t="s">
        <v>5</v>
      </c>
      <c r="L2" s="594"/>
      <c r="M2" s="417"/>
      <c r="O2" s="48"/>
      <c r="P2" s="664" t="s">
        <v>64</v>
      </c>
      <c r="Q2" s="664"/>
      <c r="R2" s="664"/>
      <c r="S2" s="664"/>
      <c r="T2" s="48"/>
      <c r="U2" s="463" t="s">
        <v>348</v>
      </c>
      <c r="V2" s="1">
        <f>SUM(K14:K18)+K26+(K48+K49+K50+K84+K85)/2</f>
        <v>3915.2750000000001</v>
      </c>
    </row>
    <row r="3" spans="1:22" ht="18" customHeight="1" thickBot="1" x14ac:dyDescent="0.25">
      <c r="A3" s="665" t="s">
        <v>160</v>
      </c>
      <c r="B3" s="666"/>
      <c r="C3" s="666"/>
      <c r="D3" s="666"/>
      <c r="E3" s="666"/>
      <c r="F3" s="666"/>
      <c r="G3" s="666"/>
      <c r="H3" s="666"/>
      <c r="I3" s="666"/>
      <c r="J3" s="666"/>
      <c r="K3" s="667"/>
      <c r="L3" s="410"/>
      <c r="M3" s="390"/>
      <c r="O3" s="48"/>
      <c r="P3" s="664"/>
      <c r="Q3" s="664"/>
      <c r="R3" s="664"/>
      <c r="S3" s="664"/>
      <c r="T3" s="48"/>
      <c r="U3" s="50" t="s">
        <v>347</v>
      </c>
      <c r="V3" s="2">
        <f>K20</f>
        <v>0</v>
      </c>
    </row>
    <row r="4" spans="1:22" x14ac:dyDescent="0.2">
      <c r="A4" s="197" t="s">
        <v>161</v>
      </c>
      <c r="B4" s="198">
        <v>1.5</v>
      </c>
      <c r="C4" s="198">
        <v>1.8</v>
      </c>
      <c r="D4" s="198">
        <v>1</v>
      </c>
      <c r="E4" s="199">
        <v>0</v>
      </c>
      <c r="F4" s="245">
        <f>100-B4-C4-D4-E4</f>
        <v>95.7</v>
      </c>
      <c r="G4" s="273"/>
      <c r="H4" s="271">
        <f>$G4*B4*100/100</f>
        <v>0</v>
      </c>
      <c r="I4" s="170">
        <f>$G4*C4*100/100</f>
        <v>0</v>
      </c>
      <c r="J4" s="170">
        <f>$G4*D4*100/100</f>
        <v>0</v>
      </c>
      <c r="K4" s="200">
        <f t="shared" ref="K4:K12" si="0">H4*16.7+I4*37.6+J4*16.7</f>
        <v>0</v>
      </c>
      <c r="L4" s="170">
        <f>$G4*E4*100/100</f>
        <v>0</v>
      </c>
      <c r="M4" s="170">
        <f>$G4*F4*100/100</f>
        <v>0</v>
      </c>
      <c r="O4" s="48"/>
      <c r="P4" s="48" t="s">
        <v>65</v>
      </c>
      <c r="Q4" s="52">
        <f>K90</f>
        <v>20970.407999999999</v>
      </c>
      <c r="R4" s="48" t="s">
        <v>5</v>
      </c>
      <c r="S4" s="48"/>
      <c r="T4" s="48"/>
      <c r="U4" s="50" t="s">
        <v>38</v>
      </c>
      <c r="V4" s="2">
        <f>SUM(K28:K45)+K9+K10+K11+K60/2</f>
        <v>2645.9549999999999</v>
      </c>
    </row>
    <row r="5" spans="1:22" x14ac:dyDescent="0.2">
      <c r="A5" s="201" t="s">
        <v>162</v>
      </c>
      <c r="B5" s="163">
        <v>0</v>
      </c>
      <c r="C5" s="163">
        <v>0.2</v>
      </c>
      <c r="D5" s="163">
        <v>0</v>
      </c>
      <c r="E5" s="163">
        <v>0</v>
      </c>
      <c r="F5" s="245">
        <f t="shared" ref="F5:F46" si="1">100-B5-C5-D5-E5</f>
        <v>99.8</v>
      </c>
      <c r="G5" s="130"/>
      <c r="H5" s="269">
        <f t="shared" ref="H5:J8" si="2">$G5*B5*150/100</f>
        <v>0</v>
      </c>
      <c r="I5" s="173">
        <f t="shared" si="2"/>
        <v>0</v>
      </c>
      <c r="J5" s="173">
        <f t="shared" si="2"/>
        <v>0</v>
      </c>
      <c r="K5" s="168">
        <f t="shared" si="0"/>
        <v>0</v>
      </c>
      <c r="L5" s="170">
        <f t="shared" ref="L5:L12" si="3">$G5*E5*100/100</f>
        <v>0</v>
      </c>
      <c r="M5" s="173">
        <f>$G5*F5*100/100</f>
        <v>0</v>
      </c>
      <c r="O5" s="48"/>
      <c r="P5" s="48" t="s">
        <v>56</v>
      </c>
      <c r="Q5" s="48"/>
      <c r="R5" s="48"/>
      <c r="S5" s="48"/>
      <c r="T5" s="48"/>
      <c r="U5" s="50" t="s">
        <v>68</v>
      </c>
      <c r="V5" s="1">
        <f>(K84+K85)/2</f>
        <v>2651.625</v>
      </c>
    </row>
    <row r="6" spans="1:22" x14ac:dyDescent="0.2">
      <c r="A6" s="201" t="s">
        <v>108</v>
      </c>
      <c r="B6" s="163">
        <v>11</v>
      </c>
      <c r="C6" s="163">
        <v>0</v>
      </c>
      <c r="D6" s="163">
        <v>0</v>
      </c>
      <c r="E6" s="163">
        <v>0</v>
      </c>
      <c r="F6" s="245">
        <f t="shared" si="1"/>
        <v>89</v>
      </c>
      <c r="G6" s="130">
        <v>1</v>
      </c>
      <c r="H6" s="269">
        <f t="shared" si="2"/>
        <v>16.5</v>
      </c>
      <c r="I6" s="173">
        <f t="shared" si="2"/>
        <v>0</v>
      </c>
      <c r="J6" s="173">
        <f t="shared" si="2"/>
        <v>0</v>
      </c>
      <c r="K6" s="168">
        <f t="shared" si="0"/>
        <v>275.55</v>
      </c>
      <c r="L6" s="170">
        <f t="shared" si="3"/>
        <v>0</v>
      </c>
      <c r="M6" s="173">
        <f>$G6*F6*330/100</f>
        <v>293.7</v>
      </c>
      <c r="O6" s="48"/>
      <c r="P6" s="48"/>
      <c r="Q6" s="48"/>
      <c r="R6" s="48"/>
      <c r="S6" s="48"/>
      <c r="T6" s="48"/>
      <c r="U6" s="50" t="s">
        <v>39</v>
      </c>
      <c r="V6" s="2">
        <f>K4+SUM(K63:K82)</f>
        <v>401.79900000000004</v>
      </c>
    </row>
    <row r="7" spans="1:22" x14ac:dyDescent="0.2">
      <c r="A7" s="201" t="s">
        <v>163</v>
      </c>
      <c r="B7" s="202">
        <v>0</v>
      </c>
      <c r="C7" s="202">
        <v>0</v>
      </c>
      <c r="D7" s="202">
        <v>0</v>
      </c>
      <c r="E7" s="163">
        <v>0</v>
      </c>
      <c r="F7" s="245">
        <f t="shared" si="1"/>
        <v>100</v>
      </c>
      <c r="G7" s="250"/>
      <c r="H7" s="269">
        <f t="shared" si="2"/>
        <v>0</v>
      </c>
      <c r="I7" s="173">
        <f t="shared" si="2"/>
        <v>0</v>
      </c>
      <c r="J7" s="173">
        <f t="shared" si="2"/>
        <v>0</v>
      </c>
      <c r="K7" s="168">
        <f t="shared" si="0"/>
        <v>0</v>
      </c>
      <c r="L7" s="170">
        <f t="shared" si="3"/>
        <v>0</v>
      </c>
      <c r="M7" s="173">
        <f>$G7*F7*150/100</f>
        <v>0</v>
      </c>
      <c r="O7" s="48"/>
      <c r="P7" s="645"/>
      <c r="Q7" s="645"/>
      <c r="R7" s="645"/>
      <c r="S7" s="645"/>
      <c r="T7" s="48"/>
      <c r="U7" s="50" t="s">
        <v>362</v>
      </c>
      <c r="V7" s="2">
        <f>K63+(K48+K49+K50+K51+K52+K53+K54+K55+K56+K57+K58+K59)/2</f>
        <v>4264.68</v>
      </c>
    </row>
    <row r="8" spans="1:22" x14ac:dyDescent="0.2">
      <c r="A8" s="201" t="s">
        <v>164</v>
      </c>
      <c r="B8" s="202">
        <v>0</v>
      </c>
      <c r="C8" s="202">
        <v>0</v>
      </c>
      <c r="D8" s="202">
        <v>0</v>
      </c>
      <c r="E8" s="163">
        <v>0</v>
      </c>
      <c r="F8" s="245">
        <f t="shared" si="1"/>
        <v>100</v>
      </c>
      <c r="G8" s="250">
        <v>5</v>
      </c>
      <c r="H8" s="269">
        <f t="shared" si="2"/>
        <v>0</v>
      </c>
      <c r="I8" s="173">
        <f t="shared" si="2"/>
        <v>0</v>
      </c>
      <c r="J8" s="173">
        <f t="shared" si="2"/>
        <v>0</v>
      </c>
      <c r="K8" s="168">
        <f t="shared" si="0"/>
        <v>0</v>
      </c>
      <c r="L8" s="170">
        <f t="shared" si="3"/>
        <v>0</v>
      </c>
      <c r="M8" s="173">
        <f>$G8*F8*150/100</f>
        <v>750</v>
      </c>
      <c r="O8" s="48"/>
      <c r="P8" s="645"/>
      <c r="Q8" s="645"/>
      <c r="R8" s="645"/>
      <c r="S8" s="645"/>
      <c r="T8" s="48"/>
      <c r="U8" s="50" t="s">
        <v>359</v>
      </c>
      <c r="V8" s="2">
        <f>K61+(K10+K11+K28+K48+K49+K50+K51+K52+K53+K54+K55+K56+K57+K58+K59+K60)/2</f>
        <v>7257.6575000000003</v>
      </c>
    </row>
    <row r="9" spans="1:22" x14ac:dyDescent="0.2">
      <c r="A9" s="201" t="s">
        <v>364</v>
      </c>
      <c r="B9" s="202">
        <v>9</v>
      </c>
      <c r="C9" s="202">
        <v>0</v>
      </c>
      <c r="D9" s="202">
        <v>0.7</v>
      </c>
      <c r="E9" s="163">
        <v>0</v>
      </c>
      <c r="F9" s="245">
        <f t="shared" si="1"/>
        <v>90.3</v>
      </c>
      <c r="G9" s="250"/>
      <c r="H9" s="269">
        <f t="shared" ref="H9:J10" si="4">$G9*B9*200/100</f>
        <v>0</v>
      </c>
      <c r="I9" s="173">
        <f t="shared" si="4"/>
        <v>0</v>
      </c>
      <c r="J9" s="173">
        <f t="shared" si="4"/>
        <v>0</v>
      </c>
      <c r="K9" s="168">
        <f t="shared" si="0"/>
        <v>0</v>
      </c>
      <c r="L9" s="170">
        <f t="shared" si="3"/>
        <v>0</v>
      </c>
      <c r="M9" s="173">
        <f>$G9*F9*200/100</f>
        <v>0</v>
      </c>
      <c r="O9" s="48"/>
      <c r="P9" s="645"/>
      <c r="Q9" s="645"/>
      <c r="R9" s="645"/>
      <c r="S9" s="645"/>
      <c r="T9" s="48"/>
    </row>
    <row r="10" spans="1:22" x14ac:dyDescent="0.2">
      <c r="A10" s="161" t="s">
        <v>110</v>
      </c>
      <c r="B10" s="204">
        <v>10</v>
      </c>
      <c r="C10" s="204">
        <v>0.5</v>
      </c>
      <c r="D10" s="204">
        <v>0.5</v>
      </c>
      <c r="E10" s="163">
        <v>0</v>
      </c>
      <c r="F10" s="245">
        <f t="shared" si="1"/>
        <v>89</v>
      </c>
      <c r="G10" s="250"/>
      <c r="H10" s="269">
        <f t="shared" si="4"/>
        <v>0</v>
      </c>
      <c r="I10" s="173">
        <f t="shared" si="4"/>
        <v>0</v>
      </c>
      <c r="J10" s="173">
        <f t="shared" si="4"/>
        <v>0</v>
      </c>
      <c r="K10" s="168">
        <f t="shared" si="0"/>
        <v>0</v>
      </c>
      <c r="L10" s="170">
        <f t="shared" si="3"/>
        <v>0</v>
      </c>
      <c r="M10" s="173">
        <f>$G10*F10*200/100</f>
        <v>0</v>
      </c>
      <c r="O10" s="48"/>
      <c r="P10" s="645"/>
      <c r="Q10" s="645"/>
      <c r="R10" s="645"/>
      <c r="S10" s="645"/>
      <c r="T10" s="48"/>
    </row>
    <row r="11" spans="1:22" x14ac:dyDescent="0.2">
      <c r="A11" s="161" t="s">
        <v>686</v>
      </c>
      <c r="B11" s="202">
        <v>39</v>
      </c>
      <c r="C11" s="204">
        <v>0.5</v>
      </c>
      <c r="D11" s="204">
        <v>0.5</v>
      </c>
      <c r="E11" s="163">
        <v>0</v>
      </c>
      <c r="F11" s="245">
        <f t="shared" si="1"/>
        <v>60</v>
      </c>
      <c r="G11" s="250">
        <v>3</v>
      </c>
      <c r="H11" s="269">
        <f>$G11*B11*130/100</f>
        <v>152.1</v>
      </c>
      <c r="I11" s="173">
        <f>$G11*C11*130/100</f>
        <v>1.95</v>
      </c>
      <c r="J11" s="173">
        <f>$G11*D11*130/100</f>
        <v>1.95</v>
      </c>
      <c r="K11" s="168">
        <f t="shared" si="0"/>
        <v>2645.9549999999999</v>
      </c>
      <c r="L11" s="170">
        <f t="shared" si="3"/>
        <v>0</v>
      </c>
      <c r="M11" s="173">
        <f>$G11*F11*180/100</f>
        <v>324</v>
      </c>
      <c r="O11" s="48"/>
      <c r="P11" s="645"/>
      <c r="Q11" s="645"/>
      <c r="R11" s="645"/>
      <c r="S11" s="645"/>
      <c r="T11" s="48"/>
    </row>
    <row r="12" spans="1:22" ht="13.5" thickBot="1" x14ac:dyDescent="0.25">
      <c r="A12" s="232" t="s">
        <v>166</v>
      </c>
      <c r="B12" s="229">
        <v>0.3</v>
      </c>
      <c r="C12" s="229">
        <v>0</v>
      </c>
      <c r="D12" s="229">
        <v>0.1</v>
      </c>
      <c r="E12" s="163">
        <v>0</v>
      </c>
      <c r="F12" s="245">
        <f t="shared" si="1"/>
        <v>99.600000000000009</v>
      </c>
      <c r="G12" s="251">
        <v>3</v>
      </c>
      <c r="H12" s="270">
        <f>$G12*B12*150/100</f>
        <v>1.35</v>
      </c>
      <c r="I12" s="176">
        <f>$G12*C12*150/100</f>
        <v>0</v>
      </c>
      <c r="J12" s="176">
        <f>$G12*D12*150/100</f>
        <v>0.45000000000000007</v>
      </c>
      <c r="K12" s="230">
        <f t="shared" si="0"/>
        <v>30.060000000000002</v>
      </c>
      <c r="L12" s="170">
        <f t="shared" si="3"/>
        <v>0</v>
      </c>
      <c r="M12" s="176">
        <f>$G12*F12*150/100</f>
        <v>448.2</v>
      </c>
      <c r="O12" s="48"/>
      <c r="P12" s="645"/>
      <c r="Q12" s="645"/>
      <c r="R12" s="645"/>
      <c r="S12" s="645"/>
      <c r="T12" s="48"/>
    </row>
    <row r="13" spans="1:22" ht="18" customHeight="1" thickBot="1" x14ac:dyDescent="0.25">
      <c r="A13" s="668" t="s">
        <v>340</v>
      </c>
      <c r="B13" s="669"/>
      <c r="C13" s="669"/>
      <c r="D13" s="669"/>
      <c r="E13" s="669"/>
      <c r="F13" s="669"/>
      <c r="G13" s="669"/>
      <c r="H13" s="669"/>
      <c r="I13" s="669"/>
      <c r="J13" s="669"/>
      <c r="K13" s="669"/>
      <c r="L13" s="669"/>
      <c r="M13" s="670"/>
      <c r="O13" s="48"/>
      <c r="P13" s="645"/>
      <c r="Q13" s="645"/>
      <c r="R13" s="645"/>
      <c r="S13" s="645"/>
      <c r="T13" s="48"/>
    </row>
    <row r="14" spans="1:22" s="49" customFormat="1" x14ac:dyDescent="0.2">
      <c r="A14" s="224" t="s">
        <v>318</v>
      </c>
      <c r="B14" s="198">
        <v>50.5</v>
      </c>
      <c r="C14" s="198">
        <v>1</v>
      </c>
      <c r="D14" s="198">
        <v>7</v>
      </c>
      <c r="E14" s="199">
        <v>0.3</v>
      </c>
      <c r="F14" s="245">
        <f t="shared" si="1"/>
        <v>41.2</v>
      </c>
      <c r="G14" s="273"/>
      <c r="H14" s="247">
        <f>$G14*B14*30/100</f>
        <v>0</v>
      </c>
      <c r="I14" s="198">
        <f>$G14*C14*30/100</f>
        <v>0</v>
      </c>
      <c r="J14" s="198">
        <f>$G14*D14*30/100</f>
        <v>0</v>
      </c>
      <c r="K14" s="200">
        <f t="shared" ref="K14:K18" si="5">H14*16.7+I14*37.6+J14*16.7</f>
        <v>0</v>
      </c>
      <c r="L14" s="170">
        <f>$G14*E14*30/100</f>
        <v>0</v>
      </c>
      <c r="M14" s="170">
        <f>$G14*F14*30/100</f>
        <v>0</v>
      </c>
      <c r="N14" s="47"/>
      <c r="O14" s="48"/>
      <c r="P14" s="645"/>
      <c r="Q14" s="645"/>
      <c r="R14" s="645"/>
      <c r="S14" s="645"/>
      <c r="T14" s="48"/>
    </row>
    <row r="15" spans="1:22" ht="13.5" customHeight="1" x14ac:dyDescent="0.2">
      <c r="A15" s="161" t="s">
        <v>694</v>
      </c>
      <c r="B15" s="204">
        <v>76.900000000000006</v>
      </c>
      <c r="C15" s="204">
        <v>14</v>
      </c>
      <c r="D15" s="204">
        <v>2.6</v>
      </c>
      <c r="E15" s="203">
        <v>1</v>
      </c>
      <c r="F15" s="245">
        <f t="shared" si="1"/>
        <v>5.4999999999999947</v>
      </c>
      <c r="G15" s="250"/>
      <c r="H15" s="248">
        <f>$G15*B15*35/100</f>
        <v>0</v>
      </c>
      <c r="I15" s="202">
        <f>$G15*C15*35/100</f>
        <v>0</v>
      </c>
      <c r="J15" s="202">
        <f>$G15*D15*35/100</f>
        <v>0</v>
      </c>
      <c r="K15" s="168">
        <f t="shared" si="5"/>
        <v>0</v>
      </c>
      <c r="L15" s="170">
        <f t="shared" ref="L15" si="6">$G15*E15*30/100</f>
        <v>0</v>
      </c>
      <c r="M15" s="173">
        <f>$G15*F15*15/100</f>
        <v>0</v>
      </c>
      <c r="O15" s="48"/>
      <c r="P15" s="48" t="s">
        <v>66</v>
      </c>
      <c r="Q15" s="52">
        <f>M172</f>
        <v>0</v>
      </c>
      <c r="R15" s="48" t="s">
        <v>74</v>
      </c>
      <c r="S15" s="48"/>
      <c r="T15" s="48"/>
    </row>
    <row r="16" spans="1:22" s="67" customFormat="1" ht="13.5" customHeight="1" thickBot="1" x14ac:dyDescent="0.25">
      <c r="A16" s="161" t="s">
        <v>177</v>
      </c>
      <c r="B16" s="202">
        <v>49</v>
      </c>
      <c r="C16" s="202">
        <v>1</v>
      </c>
      <c r="D16" s="202">
        <v>8</v>
      </c>
      <c r="E16" s="203">
        <v>4.4000000000000004</v>
      </c>
      <c r="F16" s="245">
        <f t="shared" si="1"/>
        <v>37.6</v>
      </c>
      <c r="G16" s="250"/>
      <c r="H16" s="248">
        <f>$G16*B16*20/100</f>
        <v>0</v>
      </c>
      <c r="I16" s="202">
        <f>$G16*C16*20/100</f>
        <v>0</v>
      </c>
      <c r="J16" s="202">
        <f>$G16*D16*20/100</f>
        <v>0</v>
      </c>
      <c r="K16" s="168">
        <f t="shared" si="5"/>
        <v>0</v>
      </c>
      <c r="L16" s="170">
        <f t="shared" ref="L16:L26" si="7">$G16*E16*30/100</f>
        <v>0</v>
      </c>
      <c r="M16" s="173">
        <f>$G16*F16*20/100</f>
        <v>0</v>
      </c>
      <c r="N16" s="66"/>
      <c r="O16" s="48"/>
      <c r="P16" s="54" t="s">
        <v>67</v>
      </c>
      <c r="Q16" s="55">
        <f>Q15/1000</f>
        <v>0</v>
      </c>
      <c r="R16" s="48" t="s">
        <v>75</v>
      </c>
      <c r="S16" s="48"/>
      <c r="T16" s="48"/>
    </row>
    <row r="17" spans="1:20" ht="13.5" customHeight="1" thickBot="1" x14ac:dyDescent="0.25">
      <c r="A17" s="161" t="s">
        <v>190</v>
      </c>
      <c r="B17" s="202">
        <v>40.700000000000003</v>
      </c>
      <c r="C17" s="202">
        <v>11.8</v>
      </c>
      <c r="D17" s="202">
        <v>8.4</v>
      </c>
      <c r="E17" s="203">
        <v>4.9000000000000004</v>
      </c>
      <c r="F17" s="245">
        <f t="shared" si="1"/>
        <v>34.200000000000003</v>
      </c>
      <c r="G17" s="250">
        <v>1</v>
      </c>
      <c r="H17" s="248">
        <f>$G17*B17*100/100</f>
        <v>40.700000000000003</v>
      </c>
      <c r="I17" s="202">
        <f>$G17*C17*100/100</f>
        <v>11.8</v>
      </c>
      <c r="J17" s="202">
        <f>$G17*D17*100/100</f>
        <v>8.4</v>
      </c>
      <c r="K17" s="168">
        <f t="shared" si="5"/>
        <v>1263.6500000000001</v>
      </c>
      <c r="L17" s="170">
        <f t="shared" si="7"/>
        <v>1.47</v>
      </c>
      <c r="M17" s="173">
        <f>$G17*F17*20/100</f>
        <v>6.84</v>
      </c>
      <c r="O17" s="48"/>
      <c r="P17" s="662" t="s">
        <v>79</v>
      </c>
      <c r="Q17" s="662"/>
      <c r="R17" s="662"/>
      <c r="S17" s="662"/>
      <c r="T17" s="48"/>
    </row>
    <row r="18" spans="1:20" ht="13.5" customHeight="1" thickBot="1" x14ac:dyDescent="0.25">
      <c r="A18" s="161" t="s">
        <v>178</v>
      </c>
      <c r="B18" s="202">
        <v>75</v>
      </c>
      <c r="C18" s="202">
        <v>2.5</v>
      </c>
      <c r="D18" s="202">
        <v>10</v>
      </c>
      <c r="E18" s="203">
        <v>0.3</v>
      </c>
      <c r="F18" s="245">
        <f t="shared" si="1"/>
        <v>12.2</v>
      </c>
      <c r="G18" s="250"/>
      <c r="H18" s="248">
        <f>$G18*B18*10/100</f>
        <v>0</v>
      </c>
      <c r="I18" s="202">
        <f>$G18*C18*10/100</f>
        <v>0</v>
      </c>
      <c r="J18" s="202">
        <f>$G18*D18*10/100</f>
        <v>0</v>
      </c>
      <c r="K18" s="168">
        <f t="shared" si="5"/>
        <v>0</v>
      </c>
      <c r="L18" s="170">
        <f t="shared" si="7"/>
        <v>0</v>
      </c>
      <c r="M18" s="173">
        <f>$G18*F18*10/100</f>
        <v>0</v>
      </c>
      <c r="O18" s="48"/>
      <c r="P18" s="662"/>
      <c r="Q18" s="662"/>
      <c r="R18" s="662"/>
      <c r="S18" s="662"/>
      <c r="T18" s="48"/>
    </row>
    <row r="19" spans="1:20" ht="13.5" thickBot="1" x14ac:dyDescent="0.25">
      <c r="A19" s="391" t="s">
        <v>121</v>
      </c>
      <c r="B19" s="395">
        <v>60.7</v>
      </c>
      <c r="C19" s="395">
        <v>20.399999999999999</v>
      </c>
      <c r="D19" s="395">
        <v>8.1</v>
      </c>
      <c r="E19" s="395">
        <v>7.1</v>
      </c>
      <c r="F19" s="245">
        <f t="shared" si="1"/>
        <v>3.6999999999999993</v>
      </c>
      <c r="G19" s="250"/>
      <c r="H19" s="397">
        <f>$G19*B19*40/100</f>
        <v>0</v>
      </c>
      <c r="I19" s="397">
        <f>$G19*C19*40/100</f>
        <v>0</v>
      </c>
      <c r="J19" s="397">
        <f>$G19*D19*40/100</f>
        <v>0</v>
      </c>
      <c r="K19" s="394">
        <f t="shared" ref="K19:K26" si="8">H19*16.7+I19*37.6+J19*16.7</f>
        <v>0</v>
      </c>
      <c r="L19" s="170">
        <f t="shared" si="7"/>
        <v>0</v>
      </c>
      <c r="M19" s="395">
        <f>$G19*F19*40/100</f>
        <v>0</v>
      </c>
      <c r="O19" s="56"/>
      <c r="P19" s="662"/>
      <c r="Q19" s="662"/>
      <c r="R19" s="662"/>
      <c r="S19" s="662"/>
      <c r="T19" s="56"/>
    </row>
    <row r="20" spans="1:20" x14ac:dyDescent="0.2">
      <c r="A20" s="161" t="s">
        <v>204</v>
      </c>
      <c r="B20" s="204">
        <v>7</v>
      </c>
      <c r="C20" s="204">
        <v>53</v>
      </c>
      <c r="D20" s="204">
        <v>24</v>
      </c>
      <c r="E20" s="203">
        <v>6.9</v>
      </c>
      <c r="F20" s="245">
        <f t="shared" si="1"/>
        <v>9.1</v>
      </c>
      <c r="G20" s="250"/>
      <c r="H20" s="248">
        <f t="shared" ref="H20:J22" si="9">$G20*B20*30/100</f>
        <v>0</v>
      </c>
      <c r="I20" s="202">
        <f t="shared" si="9"/>
        <v>0</v>
      </c>
      <c r="J20" s="202">
        <f t="shared" si="9"/>
        <v>0</v>
      </c>
      <c r="K20" s="168">
        <f t="shared" si="8"/>
        <v>0</v>
      </c>
      <c r="L20" s="170">
        <f t="shared" si="7"/>
        <v>0</v>
      </c>
      <c r="M20" s="173">
        <f>$G20*F20*15/100</f>
        <v>0</v>
      </c>
      <c r="O20" s="48"/>
      <c r="P20" s="48"/>
      <c r="Q20" s="48"/>
      <c r="R20" s="48"/>
      <c r="S20" s="48"/>
      <c r="T20" s="48"/>
    </row>
    <row r="21" spans="1:20" x14ac:dyDescent="0.2">
      <c r="A21" s="161" t="s">
        <v>205</v>
      </c>
      <c r="B21" s="204">
        <v>3.9</v>
      </c>
      <c r="C21" s="204">
        <v>63.7</v>
      </c>
      <c r="D21" s="204">
        <v>15.8</v>
      </c>
      <c r="E21" s="203">
        <v>6.2</v>
      </c>
      <c r="F21" s="245">
        <f t="shared" si="1"/>
        <v>10.399999999999991</v>
      </c>
      <c r="G21" s="250"/>
      <c r="H21" s="248">
        <f t="shared" si="9"/>
        <v>0</v>
      </c>
      <c r="I21" s="202">
        <f t="shared" si="9"/>
        <v>0</v>
      </c>
      <c r="J21" s="202">
        <f t="shared" si="9"/>
        <v>0</v>
      </c>
      <c r="K21" s="168">
        <f t="shared" si="8"/>
        <v>0</v>
      </c>
      <c r="L21" s="170">
        <f t="shared" si="7"/>
        <v>0</v>
      </c>
      <c r="M21" s="173">
        <f>$G21*F21*40/100</f>
        <v>0</v>
      </c>
      <c r="O21" s="48"/>
      <c r="P21" s="48"/>
      <c r="Q21" s="461" t="s">
        <v>341</v>
      </c>
      <c r="R21" s="458" t="s">
        <v>342</v>
      </c>
      <c r="S21" s="48"/>
      <c r="T21" s="48"/>
    </row>
    <row r="22" spans="1:20" x14ac:dyDescent="0.2">
      <c r="A22" s="161" t="s">
        <v>206</v>
      </c>
      <c r="B22" s="204">
        <v>8.1999999999999993</v>
      </c>
      <c r="C22" s="204">
        <v>55.4</v>
      </c>
      <c r="D22" s="204">
        <v>17.899999999999999</v>
      </c>
      <c r="E22" s="203">
        <v>6.1</v>
      </c>
      <c r="F22" s="245">
        <f t="shared" si="1"/>
        <v>12.4</v>
      </c>
      <c r="G22" s="250"/>
      <c r="H22" s="248">
        <f t="shared" si="9"/>
        <v>0</v>
      </c>
      <c r="I22" s="202">
        <f t="shared" si="9"/>
        <v>0</v>
      </c>
      <c r="J22" s="202">
        <f t="shared" si="9"/>
        <v>0</v>
      </c>
      <c r="K22" s="168">
        <f t="shared" si="8"/>
        <v>0</v>
      </c>
      <c r="L22" s="170">
        <f t="shared" si="7"/>
        <v>0</v>
      </c>
      <c r="M22" s="173">
        <f>$G22*F22*30/100</f>
        <v>0</v>
      </c>
      <c r="O22" s="48"/>
      <c r="P22" s="460" t="s">
        <v>59</v>
      </c>
      <c r="Q22" s="52">
        <f>colazione!K54</f>
        <v>40764.184000000001</v>
      </c>
      <c r="R22" s="55">
        <f>Q22*0.239006</f>
        <v>9742.8845611039997</v>
      </c>
      <c r="S22" s="48"/>
      <c r="T22" s="48"/>
    </row>
    <row r="23" spans="1:20" x14ac:dyDescent="0.2">
      <c r="A23" s="201" t="s">
        <v>181</v>
      </c>
      <c r="B23" s="204">
        <v>75</v>
      </c>
      <c r="C23" s="204">
        <v>0.6</v>
      </c>
      <c r="D23" s="204">
        <v>2.2000000000000002</v>
      </c>
      <c r="E23" s="203">
        <v>1.6</v>
      </c>
      <c r="F23" s="245">
        <f t="shared" si="1"/>
        <v>20.599999999999998</v>
      </c>
      <c r="G23" s="250"/>
      <c r="H23" s="248">
        <f>$G23*B23*15/100</f>
        <v>0</v>
      </c>
      <c r="I23" s="202">
        <f>$G23*C23*15/100</f>
        <v>0</v>
      </c>
      <c r="J23" s="202">
        <f>$G23*D23*15/100</f>
        <v>0</v>
      </c>
      <c r="K23" s="168">
        <f t="shared" si="8"/>
        <v>0</v>
      </c>
      <c r="L23" s="170">
        <f t="shared" si="7"/>
        <v>0</v>
      </c>
      <c r="M23" s="173">
        <f>$G23*F23*15/100</f>
        <v>0</v>
      </c>
      <c r="O23" s="48"/>
      <c r="P23" s="460" t="s">
        <v>60</v>
      </c>
      <c r="Q23" s="52">
        <f>pranzo!K177</f>
        <v>21126.135000000002</v>
      </c>
      <c r="R23" s="55">
        <f t="shared" ref="R23:R26" si="10">Q23*0.239006</f>
        <v>5049.2730218100005</v>
      </c>
      <c r="S23" s="48"/>
      <c r="T23" s="48"/>
    </row>
    <row r="24" spans="1:20" x14ac:dyDescent="0.2">
      <c r="A24" s="201" t="s">
        <v>119</v>
      </c>
      <c r="B24" s="225">
        <v>65</v>
      </c>
      <c r="C24" s="225">
        <v>0.5</v>
      </c>
      <c r="D24" s="225">
        <v>5</v>
      </c>
      <c r="E24" s="203">
        <v>2</v>
      </c>
      <c r="F24" s="245">
        <f t="shared" ref="F24" si="11">100-B24-C24-D24-E24</f>
        <v>27.5</v>
      </c>
      <c r="G24" s="250"/>
      <c r="H24" s="248">
        <f t="shared" ref="H24:J25" si="12">$G24*B24*40/100</f>
        <v>0</v>
      </c>
      <c r="I24" s="202">
        <f t="shared" ref="I24" si="13">$G24*C24*40/100</f>
        <v>0</v>
      </c>
      <c r="J24" s="202">
        <f t="shared" ref="J24" si="14">$G24*D24*40/100</f>
        <v>0</v>
      </c>
      <c r="K24" s="168">
        <f t="shared" ref="K24:K25" si="15">H24*16.7+I24*37.6+J24*16.7</f>
        <v>0</v>
      </c>
      <c r="L24" s="170">
        <f t="shared" ref="L24:L25" si="16">$G24*E24*30/100</f>
        <v>0</v>
      </c>
      <c r="M24" s="173">
        <f>$G24*F24*40/100</f>
        <v>0</v>
      </c>
      <c r="O24" s="48"/>
      <c r="P24" s="460" t="s">
        <v>61</v>
      </c>
      <c r="Q24" s="52">
        <f>K90</f>
        <v>20970.407999999999</v>
      </c>
      <c r="R24" s="55">
        <f t="shared" si="10"/>
        <v>5012.053334448</v>
      </c>
      <c r="S24" s="48"/>
      <c r="T24" s="48"/>
    </row>
    <row r="25" spans="1:20" x14ac:dyDescent="0.2">
      <c r="A25" s="201" t="s">
        <v>687</v>
      </c>
      <c r="B25" s="225">
        <v>65</v>
      </c>
      <c r="C25" s="225">
        <v>8.6</v>
      </c>
      <c r="D25" s="225">
        <v>43</v>
      </c>
      <c r="E25" s="203">
        <v>4</v>
      </c>
      <c r="F25" s="245">
        <f>150-B25-C25-D25-E25</f>
        <v>29.400000000000006</v>
      </c>
      <c r="G25" s="250">
        <v>1</v>
      </c>
      <c r="H25" s="248">
        <f t="shared" si="12"/>
        <v>26</v>
      </c>
      <c r="I25" s="202">
        <f t="shared" si="12"/>
        <v>3.44</v>
      </c>
      <c r="J25" s="202">
        <f t="shared" si="12"/>
        <v>17.2</v>
      </c>
      <c r="K25" s="168">
        <f t="shared" si="15"/>
        <v>850.78399999999988</v>
      </c>
      <c r="L25" s="170">
        <f t="shared" si="16"/>
        <v>1.2</v>
      </c>
      <c r="M25" s="173">
        <f>$G25*F25*40/100</f>
        <v>11.760000000000002</v>
      </c>
      <c r="O25" s="48"/>
      <c r="P25" s="460" t="s">
        <v>62</v>
      </c>
      <c r="Q25" s="52">
        <f>spuntino!$K$84</f>
        <v>11504.668999999998</v>
      </c>
      <c r="R25" s="55">
        <f t="shared" si="10"/>
        <v>2749.6849190139997</v>
      </c>
      <c r="S25" s="48"/>
      <c r="T25" s="48"/>
    </row>
    <row r="26" spans="1:20" ht="13.5" thickBot="1" x14ac:dyDescent="0.25">
      <c r="A26" s="226" t="s">
        <v>339</v>
      </c>
      <c r="B26" s="227">
        <v>36.299999999999997</v>
      </c>
      <c r="C26" s="227">
        <v>17.2</v>
      </c>
      <c r="D26" s="227">
        <v>4.4000000000000004</v>
      </c>
      <c r="E26" s="228">
        <v>2</v>
      </c>
      <c r="F26" s="245">
        <f t="shared" si="1"/>
        <v>40.1</v>
      </c>
      <c r="G26" s="251"/>
      <c r="H26" s="254">
        <f>$G26*B26*250/100</f>
        <v>0</v>
      </c>
      <c r="I26" s="229">
        <f>$G26*C26*250/100</f>
        <v>0</v>
      </c>
      <c r="J26" s="229">
        <f>$G26*D26*250/100</f>
        <v>0</v>
      </c>
      <c r="K26" s="230">
        <f t="shared" si="8"/>
        <v>0</v>
      </c>
      <c r="L26" s="170">
        <f t="shared" si="7"/>
        <v>0</v>
      </c>
      <c r="M26" s="176">
        <f>$G26*F26*250/100</f>
        <v>0</v>
      </c>
      <c r="O26" s="48"/>
      <c r="P26" s="460" t="s">
        <v>63</v>
      </c>
      <c r="Q26" s="52">
        <f>cena!K177</f>
        <v>32347.438599999998</v>
      </c>
      <c r="R26" s="55">
        <f t="shared" si="10"/>
        <v>7731.231910031599</v>
      </c>
      <c r="S26" s="48"/>
      <c r="T26" s="48"/>
    </row>
    <row r="27" spans="1:20" ht="18" customHeight="1" thickBot="1" x14ac:dyDescent="0.25">
      <c r="A27" s="409" t="s">
        <v>327</v>
      </c>
      <c r="B27" s="410"/>
      <c r="C27" s="410"/>
      <c r="D27" s="410"/>
      <c r="E27" s="387"/>
      <c r="F27" s="410"/>
      <c r="G27" s="388"/>
      <c r="H27" s="410"/>
      <c r="I27" s="410"/>
      <c r="J27" s="410"/>
      <c r="K27" s="410"/>
      <c r="L27" s="410"/>
      <c r="M27" s="389"/>
      <c r="O27" s="48"/>
      <c r="P27" s="49"/>
      <c r="Q27" s="49"/>
      <c r="R27" s="49"/>
      <c r="S27" s="49"/>
      <c r="T27" s="48"/>
    </row>
    <row r="28" spans="1:20" x14ac:dyDescent="0.2">
      <c r="A28" s="404" t="s">
        <v>329</v>
      </c>
      <c r="B28" s="405">
        <v>25</v>
      </c>
      <c r="C28" s="405">
        <v>0.1</v>
      </c>
      <c r="D28" s="405">
        <v>0.5</v>
      </c>
      <c r="E28" s="406">
        <v>1</v>
      </c>
      <c r="F28" s="406">
        <f t="shared" si="1"/>
        <v>73.400000000000006</v>
      </c>
      <c r="G28" s="273"/>
      <c r="H28" s="406">
        <f>$G28*B28*150/100</f>
        <v>0</v>
      </c>
      <c r="I28" s="406">
        <f>$G28*C28*150/100</f>
        <v>0</v>
      </c>
      <c r="J28" s="406">
        <f>$G28*D28*150/100</f>
        <v>0</v>
      </c>
      <c r="K28" s="407">
        <f t="shared" ref="K28:K46" si="17">H28*16.7+I28*37.6+J28*16.7</f>
        <v>0</v>
      </c>
      <c r="L28" s="408">
        <f>$G28*E28*150/100</f>
        <v>0</v>
      </c>
      <c r="M28" s="408">
        <f>$G28*F28*150/100</f>
        <v>0</v>
      </c>
      <c r="O28" s="48"/>
      <c r="P28" s="49"/>
      <c r="Q28" s="49"/>
      <c r="R28" s="49"/>
      <c r="S28" s="49"/>
      <c r="T28" s="48"/>
    </row>
    <row r="29" spans="1:20" x14ac:dyDescent="0.2">
      <c r="A29" s="391" t="s">
        <v>188</v>
      </c>
      <c r="B29" s="392">
        <v>21.5</v>
      </c>
      <c r="C29" s="392">
        <v>0.2</v>
      </c>
      <c r="D29" s="392">
        <v>0.5</v>
      </c>
      <c r="E29" s="393">
        <v>1</v>
      </c>
      <c r="F29" s="406">
        <f t="shared" si="1"/>
        <v>76.8</v>
      </c>
      <c r="G29" s="250"/>
      <c r="H29" s="393">
        <f>$G29*B29*120/100</f>
        <v>0</v>
      </c>
      <c r="I29" s="393">
        <f>$G29*C29*120/100</f>
        <v>0</v>
      </c>
      <c r="J29" s="393">
        <f>$G29*D29*120/100</f>
        <v>0</v>
      </c>
      <c r="K29" s="394">
        <f t="shared" si="17"/>
        <v>0</v>
      </c>
      <c r="L29" s="408">
        <f t="shared" ref="L29:L46" si="18">$G29*E29*150/100</f>
        <v>0</v>
      </c>
      <c r="M29" s="395">
        <f>$G29*F29*120/100</f>
        <v>0</v>
      </c>
      <c r="O29" s="48"/>
      <c r="P29" s="49"/>
      <c r="Q29" s="49"/>
      <c r="R29" s="49"/>
      <c r="S29" s="49"/>
      <c r="T29" s="48"/>
    </row>
    <row r="30" spans="1:20" x14ac:dyDescent="0.2">
      <c r="A30" s="391" t="s">
        <v>330</v>
      </c>
      <c r="B30" s="393">
        <v>11.2</v>
      </c>
      <c r="C30" s="393">
        <v>0.2</v>
      </c>
      <c r="D30" s="393">
        <v>0.8</v>
      </c>
      <c r="E30" s="393">
        <v>2</v>
      </c>
      <c r="F30" s="406">
        <f t="shared" si="1"/>
        <v>85.8</v>
      </c>
      <c r="G30" s="250"/>
      <c r="H30" s="393">
        <f>$G30*B30*60/100</f>
        <v>0</v>
      </c>
      <c r="I30" s="393">
        <f>$G30*C30*60/100</f>
        <v>0</v>
      </c>
      <c r="J30" s="393">
        <f>$G30*D30*60/100</f>
        <v>0</v>
      </c>
      <c r="K30" s="394">
        <f t="shared" si="17"/>
        <v>0</v>
      </c>
      <c r="L30" s="408">
        <f t="shared" si="18"/>
        <v>0</v>
      </c>
      <c r="M30" s="395">
        <f>$G30*F30*60/100</f>
        <v>0</v>
      </c>
      <c r="O30" s="48"/>
      <c r="P30" s="49"/>
      <c r="Q30" s="49"/>
      <c r="R30" s="49"/>
      <c r="S30" s="49"/>
      <c r="T30" s="48"/>
    </row>
    <row r="31" spans="1:20" x14ac:dyDescent="0.2">
      <c r="A31" s="391" t="s">
        <v>331</v>
      </c>
      <c r="B31" s="392">
        <v>11.9</v>
      </c>
      <c r="C31" s="392">
        <v>0.2</v>
      </c>
      <c r="D31" s="392">
        <v>0.4</v>
      </c>
      <c r="E31" s="393">
        <v>2</v>
      </c>
      <c r="F31" s="406">
        <f t="shared" si="1"/>
        <v>85.499999999999986</v>
      </c>
      <c r="G31" s="250"/>
      <c r="H31" s="393">
        <f>$G31*B31*120/100</f>
        <v>0</v>
      </c>
      <c r="I31" s="393">
        <f>$G31*C31*120/100</f>
        <v>0</v>
      </c>
      <c r="J31" s="393">
        <f>$G31*D31*120/100</f>
        <v>0</v>
      </c>
      <c r="K31" s="394">
        <f t="shared" si="17"/>
        <v>0</v>
      </c>
      <c r="L31" s="408">
        <f t="shared" si="18"/>
        <v>0</v>
      </c>
      <c r="M31" s="395">
        <f>$G31*F31*120/100</f>
        <v>0</v>
      </c>
      <c r="O31" s="48"/>
      <c r="P31" s="49"/>
      <c r="Q31" s="49"/>
      <c r="R31" s="49"/>
      <c r="S31" s="49"/>
      <c r="T31" s="48"/>
    </row>
    <row r="32" spans="1:20" x14ac:dyDescent="0.2">
      <c r="A32" s="398" t="s">
        <v>332</v>
      </c>
      <c r="B32" s="395">
        <v>20</v>
      </c>
      <c r="C32" s="395">
        <v>0.5</v>
      </c>
      <c r="D32" s="395">
        <v>1.4</v>
      </c>
      <c r="E32" s="395">
        <v>1.4</v>
      </c>
      <c r="F32" s="406">
        <f t="shared" si="1"/>
        <v>76.699999999999989</v>
      </c>
      <c r="G32" s="250"/>
      <c r="H32" s="397">
        <f t="shared" ref="H32:J33" si="19">$G32*B32*150/100</f>
        <v>0</v>
      </c>
      <c r="I32" s="397">
        <f t="shared" si="19"/>
        <v>0</v>
      </c>
      <c r="J32" s="397">
        <f t="shared" si="19"/>
        <v>0</v>
      </c>
      <c r="K32" s="394">
        <f t="shared" si="17"/>
        <v>0</v>
      </c>
      <c r="L32" s="408">
        <f t="shared" si="18"/>
        <v>0</v>
      </c>
      <c r="M32" s="395">
        <f>$G32*F32*150/100</f>
        <v>0</v>
      </c>
      <c r="O32" s="48"/>
      <c r="P32" s="49"/>
      <c r="Q32" s="49"/>
      <c r="R32" s="49"/>
      <c r="S32" s="49"/>
      <c r="T32" s="48"/>
    </row>
    <row r="33" spans="1:20" x14ac:dyDescent="0.2">
      <c r="A33" s="391" t="s">
        <v>321</v>
      </c>
      <c r="B33" s="392">
        <v>15</v>
      </c>
      <c r="C33" s="392">
        <v>0.4</v>
      </c>
      <c r="D33" s="392">
        <v>1.1000000000000001</v>
      </c>
      <c r="E33" s="393">
        <v>2</v>
      </c>
      <c r="F33" s="406">
        <f t="shared" si="1"/>
        <v>81.5</v>
      </c>
      <c r="G33" s="250"/>
      <c r="H33" s="393">
        <f t="shared" si="19"/>
        <v>0</v>
      </c>
      <c r="I33" s="393">
        <f t="shared" si="19"/>
        <v>0</v>
      </c>
      <c r="J33" s="393">
        <f t="shared" si="19"/>
        <v>0</v>
      </c>
      <c r="K33" s="394">
        <f t="shared" si="17"/>
        <v>0</v>
      </c>
      <c r="L33" s="408">
        <f t="shared" si="18"/>
        <v>0</v>
      </c>
      <c r="M33" s="395">
        <f>$G33*F33*150/100</f>
        <v>0</v>
      </c>
      <c r="O33" s="48"/>
      <c r="P33" s="49"/>
      <c r="Q33" s="49"/>
      <c r="R33" s="49"/>
      <c r="S33" s="49"/>
      <c r="T33" s="48"/>
    </row>
    <row r="34" spans="1:20" x14ac:dyDescent="0.2">
      <c r="A34" s="391" t="s">
        <v>250</v>
      </c>
      <c r="B34" s="392">
        <v>9.4</v>
      </c>
      <c r="C34" s="392">
        <v>0.2</v>
      </c>
      <c r="D34" s="392">
        <v>0.5</v>
      </c>
      <c r="E34" s="393">
        <v>2</v>
      </c>
      <c r="F34" s="406">
        <f t="shared" si="1"/>
        <v>87.899999999999991</v>
      </c>
      <c r="G34" s="250"/>
      <c r="H34" s="393">
        <f>$G34*B34*70/100</f>
        <v>0</v>
      </c>
      <c r="I34" s="393">
        <f>$G34*C34*70/100</f>
        <v>0</v>
      </c>
      <c r="J34" s="393">
        <f>$G34*D34*70/100</f>
        <v>0</v>
      </c>
      <c r="K34" s="394">
        <f t="shared" si="17"/>
        <v>0</v>
      </c>
      <c r="L34" s="408">
        <f t="shared" si="18"/>
        <v>0</v>
      </c>
      <c r="M34" s="395">
        <f>$G34*F34*70/100</f>
        <v>0</v>
      </c>
      <c r="O34" s="48"/>
      <c r="P34" s="49"/>
      <c r="Q34" s="49"/>
      <c r="R34" s="49"/>
      <c r="S34" s="49"/>
      <c r="T34" s="48"/>
    </row>
    <row r="35" spans="1:20" x14ac:dyDescent="0.2">
      <c r="A35" s="398" t="s">
        <v>251</v>
      </c>
      <c r="B35" s="392">
        <v>19.2</v>
      </c>
      <c r="C35" s="392">
        <v>0.4</v>
      </c>
      <c r="D35" s="392">
        <v>0.8</v>
      </c>
      <c r="E35" s="393">
        <v>2</v>
      </c>
      <c r="F35" s="406">
        <f t="shared" si="1"/>
        <v>77.599999999999994</v>
      </c>
      <c r="G35" s="250"/>
      <c r="H35" s="393">
        <f>$G35*B35*40/100</f>
        <v>0</v>
      </c>
      <c r="I35" s="393">
        <f>$G35*C35*200/40</f>
        <v>0</v>
      </c>
      <c r="J35" s="393">
        <f>$G35*D35*200/40</f>
        <v>0</v>
      </c>
      <c r="K35" s="394">
        <f t="shared" si="17"/>
        <v>0</v>
      </c>
      <c r="L35" s="408">
        <f t="shared" si="18"/>
        <v>0</v>
      </c>
      <c r="M35" s="395">
        <f>$G35*F35*200/40</f>
        <v>0</v>
      </c>
      <c r="O35" s="48"/>
      <c r="P35" s="49"/>
      <c r="Q35" s="49"/>
      <c r="R35" s="49"/>
      <c r="S35" s="49"/>
      <c r="T35" s="48"/>
    </row>
    <row r="36" spans="1:20" x14ac:dyDescent="0.2">
      <c r="A36" s="398" t="s">
        <v>125</v>
      </c>
      <c r="B36" s="395">
        <v>7.5</v>
      </c>
      <c r="C36" s="395">
        <v>0.6</v>
      </c>
      <c r="D36" s="395">
        <v>0.7</v>
      </c>
      <c r="E36" s="395">
        <v>1</v>
      </c>
      <c r="F36" s="406">
        <f t="shared" si="1"/>
        <v>90.2</v>
      </c>
      <c r="G36" s="250"/>
      <c r="H36" s="397">
        <f>$G36*B36*120/100</f>
        <v>0</v>
      </c>
      <c r="I36" s="397">
        <f>$G36*C36*120/100</f>
        <v>0</v>
      </c>
      <c r="J36" s="397">
        <f>$G36*D36*120/100</f>
        <v>0</v>
      </c>
      <c r="K36" s="394">
        <f t="shared" si="17"/>
        <v>0</v>
      </c>
      <c r="L36" s="408">
        <f t="shared" si="18"/>
        <v>0</v>
      </c>
      <c r="M36" s="395">
        <f>$G36*F36*120/100</f>
        <v>0</v>
      </c>
      <c r="O36" s="48"/>
      <c r="P36" s="49"/>
      <c r="Q36" s="49"/>
      <c r="R36" s="49"/>
      <c r="S36" s="49"/>
      <c r="T36" s="48"/>
    </row>
    <row r="37" spans="1:20" x14ac:dyDescent="0.2">
      <c r="A37" s="398" t="s">
        <v>13</v>
      </c>
      <c r="B37" s="392">
        <v>11</v>
      </c>
      <c r="C37" s="392">
        <v>0.3</v>
      </c>
      <c r="D37" s="392">
        <v>0.7</v>
      </c>
      <c r="E37" s="393">
        <v>1</v>
      </c>
      <c r="F37" s="406">
        <f t="shared" si="1"/>
        <v>87</v>
      </c>
      <c r="G37" s="250"/>
      <c r="H37" s="393">
        <f>$G37*B37*70/100</f>
        <v>0</v>
      </c>
      <c r="I37" s="393">
        <f>$G37*C37*70/100</f>
        <v>0</v>
      </c>
      <c r="J37" s="393">
        <f>$G37*D37*70/100</f>
        <v>0</v>
      </c>
      <c r="K37" s="394">
        <f t="shared" si="17"/>
        <v>0</v>
      </c>
      <c r="L37" s="408">
        <f t="shared" si="18"/>
        <v>0</v>
      </c>
      <c r="M37" s="395">
        <f>$G37*F37*70/100</f>
        <v>0</v>
      </c>
      <c r="O37" s="48"/>
      <c r="P37" s="48"/>
      <c r="Q37" s="48"/>
      <c r="R37" s="48"/>
      <c r="S37" s="48"/>
      <c r="T37" s="48"/>
    </row>
    <row r="38" spans="1:20" x14ac:dyDescent="0.2">
      <c r="A38" s="398" t="s">
        <v>333</v>
      </c>
      <c r="B38" s="392">
        <v>15.5</v>
      </c>
      <c r="C38" s="392">
        <v>0.5</v>
      </c>
      <c r="D38" s="392">
        <v>1</v>
      </c>
      <c r="E38" s="393">
        <v>2</v>
      </c>
      <c r="F38" s="406">
        <f t="shared" si="1"/>
        <v>81</v>
      </c>
      <c r="G38" s="250"/>
      <c r="H38" s="393">
        <f>$G38*B38*100/100</f>
        <v>0</v>
      </c>
      <c r="I38" s="393">
        <f>$G38*C38*100/100</f>
        <v>0</v>
      </c>
      <c r="J38" s="393">
        <f>$G38*D38*100/100</f>
        <v>0</v>
      </c>
      <c r="K38" s="394">
        <f t="shared" si="17"/>
        <v>0</v>
      </c>
      <c r="L38" s="408">
        <f t="shared" si="18"/>
        <v>0</v>
      </c>
      <c r="M38" s="395">
        <f>$G38*F38*100/100</f>
        <v>0</v>
      </c>
    </row>
    <row r="39" spans="1:20" x14ac:dyDescent="0.2">
      <c r="A39" s="398" t="s">
        <v>334</v>
      </c>
      <c r="B39" s="392">
        <v>13</v>
      </c>
      <c r="C39" s="392">
        <v>0.4</v>
      </c>
      <c r="D39" s="392">
        <v>1</v>
      </c>
      <c r="E39" s="393">
        <v>2</v>
      </c>
      <c r="F39" s="406">
        <f t="shared" si="1"/>
        <v>83.6</v>
      </c>
      <c r="G39" s="250"/>
      <c r="H39" s="393">
        <f>$G39*B39*200/100</f>
        <v>0</v>
      </c>
      <c r="I39" s="393">
        <f>$G39*C39*200/100</f>
        <v>0</v>
      </c>
      <c r="J39" s="393">
        <f>$G39*D39*200/100</f>
        <v>0</v>
      </c>
      <c r="K39" s="394">
        <f t="shared" si="17"/>
        <v>0</v>
      </c>
      <c r="L39" s="408">
        <f t="shared" si="18"/>
        <v>0</v>
      </c>
      <c r="M39" s="395">
        <f>$G39*F39*200/100</f>
        <v>0</v>
      </c>
    </row>
    <row r="40" spans="1:20" x14ac:dyDescent="0.2">
      <c r="A40" s="396" t="s">
        <v>335</v>
      </c>
      <c r="B40" s="395">
        <v>9</v>
      </c>
      <c r="C40" s="395">
        <v>0.2</v>
      </c>
      <c r="D40" s="395">
        <v>0.7</v>
      </c>
      <c r="E40" s="395">
        <v>2</v>
      </c>
      <c r="F40" s="406">
        <f t="shared" si="1"/>
        <v>88.1</v>
      </c>
      <c r="G40" s="250"/>
      <c r="H40" s="397">
        <f>$G40*B40*170/100</f>
        <v>0</v>
      </c>
      <c r="I40" s="397">
        <f>$G40*C40*170/100</f>
        <v>0</v>
      </c>
      <c r="J40" s="397">
        <f>$G40*D40*170/100</f>
        <v>0</v>
      </c>
      <c r="K40" s="394">
        <f t="shared" si="17"/>
        <v>0</v>
      </c>
      <c r="L40" s="408">
        <f t="shared" si="18"/>
        <v>0</v>
      </c>
      <c r="M40" s="395">
        <f>$G40*F40*170/100</f>
        <v>0</v>
      </c>
    </row>
    <row r="41" spans="1:20" x14ac:dyDescent="0.2">
      <c r="A41" s="398" t="s">
        <v>289</v>
      </c>
      <c r="B41" s="392">
        <v>9</v>
      </c>
      <c r="C41" s="392">
        <v>0.2</v>
      </c>
      <c r="D41" s="392">
        <v>0.6</v>
      </c>
      <c r="E41" s="393">
        <v>2</v>
      </c>
      <c r="F41" s="406">
        <f t="shared" si="1"/>
        <v>88.2</v>
      </c>
      <c r="G41" s="250"/>
      <c r="H41" s="393">
        <f>$G41*B41*140/100</f>
        <v>0</v>
      </c>
      <c r="I41" s="393">
        <f>$G41*C41*140/100</f>
        <v>0</v>
      </c>
      <c r="J41" s="393">
        <f>$G41*D41*140/100</f>
        <v>0</v>
      </c>
      <c r="K41" s="394">
        <f t="shared" si="17"/>
        <v>0</v>
      </c>
      <c r="L41" s="408">
        <f t="shared" si="18"/>
        <v>0</v>
      </c>
      <c r="M41" s="395">
        <f>$G41*F41*140/100</f>
        <v>0</v>
      </c>
    </row>
    <row r="42" spans="1:20" x14ac:dyDescent="0.2">
      <c r="A42" s="396" t="s">
        <v>290</v>
      </c>
      <c r="B42" s="395">
        <v>11</v>
      </c>
      <c r="C42" s="395">
        <v>0</v>
      </c>
      <c r="D42" s="395">
        <v>0.5</v>
      </c>
      <c r="E42" s="395">
        <v>2</v>
      </c>
      <c r="F42" s="406">
        <f t="shared" si="1"/>
        <v>86.5</v>
      </c>
      <c r="G42" s="250"/>
      <c r="H42" s="397">
        <f>$G42*B42*150/100</f>
        <v>0</v>
      </c>
      <c r="I42" s="397">
        <f>$G42*C42*150/100</f>
        <v>0</v>
      </c>
      <c r="J42" s="397">
        <f>$G42*D42*150/100</f>
        <v>0</v>
      </c>
      <c r="K42" s="394">
        <f t="shared" si="17"/>
        <v>0</v>
      </c>
      <c r="L42" s="408">
        <f t="shared" si="18"/>
        <v>0</v>
      </c>
      <c r="M42" s="395">
        <f>$G42*F42*150/100</f>
        <v>0</v>
      </c>
    </row>
    <row r="43" spans="1:20" x14ac:dyDescent="0.2">
      <c r="A43" s="396" t="s">
        <v>291</v>
      </c>
      <c r="B43" s="395">
        <v>15.8</v>
      </c>
      <c r="C43" s="395">
        <v>0.48</v>
      </c>
      <c r="D43" s="395">
        <v>0.7</v>
      </c>
      <c r="E43" s="395">
        <v>2</v>
      </c>
      <c r="F43" s="406">
        <f t="shared" si="1"/>
        <v>81.02</v>
      </c>
      <c r="G43" s="250"/>
      <c r="H43" s="397">
        <f>$G43*B43*180/100</f>
        <v>0</v>
      </c>
      <c r="I43" s="397">
        <f>$G43*C43*180/100</f>
        <v>0</v>
      </c>
      <c r="J43" s="397">
        <f>$G43*D43*180/100</f>
        <v>0</v>
      </c>
      <c r="K43" s="394">
        <f t="shared" si="17"/>
        <v>0</v>
      </c>
      <c r="L43" s="408">
        <f t="shared" si="18"/>
        <v>0</v>
      </c>
      <c r="M43" s="395">
        <f>$G43*F43*180/100</f>
        <v>0</v>
      </c>
    </row>
    <row r="44" spans="1:20" x14ac:dyDescent="0.2">
      <c r="A44" s="396" t="s">
        <v>292</v>
      </c>
      <c r="B44" s="395">
        <v>12</v>
      </c>
      <c r="C44" s="395">
        <v>0.35</v>
      </c>
      <c r="D44" s="395">
        <v>0.3</v>
      </c>
      <c r="E44" s="395">
        <v>2</v>
      </c>
      <c r="F44" s="406">
        <f t="shared" si="1"/>
        <v>85.350000000000009</v>
      </c>
      <c r="G44" s="250"/>
      <c r="H44" s="397">
        <f>$G44*B44*160/100</f>
        <v>0</v>
      </c>
      <c r="I44" s="397">
        <f>$G44*C44*160/100</f>
        <v>0</v>
      </c>
      <c r="J44" s="397">
        <f>$G44*D44*160/100</f>
        <v>0</v>
      </c>
      <c r="K44" s="394">
        <f t="shared" si="17"/>
        <v>0</v>
      </c>
      <c r="L44" s="408">
        <f t="shared" si="18"/>
        <v>0</v>
      </c>
      <c r="M44" s="395">
        <f>$G44*F44*160/100</f>
        <v>0</v>
      </c>
    </row>
    <row r="45" spans="1:20" ht="12" customHeight="1" x14ac:dyDescent="0.2">
      <c r="A45" s="399" t="s">
        <v>293</v>
      </c>
      <c r="B45" s="400">
        <v>16</v>
      </c>
      <c r="C45" s="400">
        <v>0.7</v>
      </c>
      <c r="D45" s="400">
        <v>0.9</v>
      </c>
      <c r="E45" s="401">
        <v>2</v>
      </c>
      <c r="F45" s="406">
        <f t="shared" si="1"/>
        <v>80.399999999999991</v>
      </c>
      <c r="G45" s="250"/>
      <c r="H45" s="401">
        <f>$G45*B45*80/100</f>
        <v>0</v>
      </c>
      <c r="I45" s="401">
        <f>$G45*C45*80/100</f>
        <v>0</v>
      </c>
      <c r="J45" s="401">
        <f>$G45*D45*80/100</f>
        <v>0</v>
      </c>
      <c r="K45" s="402">
        <f t="shared" si="17"/>
        <v>0</v>
      </c>
      <c r="L45" s="408">
        <f t="shared" si="18"/>
        <v>0</v>
      </c>
      <c r="M45" s="403">
        <f>$G45*F45*80/100</f>
        <v>0</v>
      </c>
    </row>
    <row r="46" spans="1:20" ht="12" customHeight="1" thickBot="1" x14ac:dyDescent="0.25">
      <c r="A46" s="161" t="s">
        <v>336</v>
      </c>
      <c r="B46" s="225">
        <v>8.5</v>
      </c>
      <c r="C46" s="225">
        <v>0.2</v>
      </c>
      <c r="D46" s="225">
        <v>1.1000000000000001</v>
      </c>
      <c r="E46" s="203">
        <v>2</v>
      </c>
      <c r="F46" s="406">
        <f t="shared" si="1"/>
        <v>88.2</v>
      </c>
      <c r="G46" s="250"/>
      <c r="H46" s="248">
        <f t="shared" ref="H46:J46" si="20">$G46*B46*110/100</f>
        <v>0</v>
      </c>
      <c r="I46" s="202">
        <f t="shared" si="20"/>
        <v>0</v>
      </c>
      <c r="J46" s="202">
        <f t="shared" si="20"/>
        <v>0</v>
      </c>
      <c r="K46" s="168">
        <f t="shared" si="17"/>
        <v>0</v>
      </c>
      <c r="L46" s="408">
        <f t="shared" si="18"/>
        <v>0</v>
      </c>
      <c r="M46" s="173">
        <f>$G46*F46*110/100</f>
        <v>0</v>
      </c>
    </row>
    <row r="47" spans="1:20" ht="13.5" thickBot="1" x14ac:dyDescent="0.25">
      <c r="A47" s="385" t="s">
        <v>328</v>
      </c>
      <c r="B47" s="386"/>
      <c r="C47" s="386"/>
      <c r="D47" s="386"/>
      <c r="E47" s="387"/>
      <c r="F47" s="386"/>
      <c r="G47" s="388"/>
      <c r="H47" s="386"/>
      <c r="I47" s="386"/>
      <c r="J47" s="386"/>
      <c r="K47" s="386"/>
      <c r="L47" s="386"/>
      <c r="M47" s="390"/>
    </row>
    <row r="48" spans="1:20" x14ac:dyDescent="0.2">
      <c r="A48" s="197" t="s">
        <v>253</v>
      </c>
      <c r="B48" s="170">
        <v>79.599999999999994</v>
      </c>
      <c r="C48" s="170">
        <v>15</v>
      </c>
      <c r="D48" s="170">
        <v>4.5</v>
      </c>
      <c r="E48" s="170">
        <v>0.8</v>
      </c>
      <c r="F48" s="171">
        <f>100-B48-C48-D48-E48</f>
        <v>0.10000000000000564</v>
      </c>
      <c r="G48" s="141"/>
      <c r="H48" s="253">
        <f>$G48*B48*160/100</f>
        <v>0</v>
      </c>
      <c r="I48" s="233">
        <f>$G48*C48*160/100</f>
        <v>0</v>
      </c>
      <c r="J48" s="233">
        <f>$G48*D48*160/100</f>
        <v>0</v>
      </c>
      <c r="K48" s="200">
        <f t="shared" ref="K48:K61" si="21">H48*16.7+I48*37.6+J48*16.7</f>
        <v>0</v>
      </c>
      <c r="L48" s="170">
        <f>$G48*E48*160/100</f>
        <v>0</v>
      </c>
      <c r="M48" s="170">
        <f>$G48*F48*160/100</f>
        <v>0</v>
      </c>
    </row>
    <row r="49" spans="1:20" x14ac:dyDescent="0.2">
      <c r="A49" s="161" t="s">
        <v>252</v>
      </c>
      <c r="B49" s="173">
        <v>77</v>
      </c>
      <c r="C49" s="173">
        <v>10</v>
      </c>
      <c r="D49" s="173">
        <v>5.6</v>
      </c>
      <c r="E49" s="173">
        <v>1</v>
      </c>
      <c r="F49" s="171">
        <f t="shared" ref="F49:F61" si="22">100-B49-C49-D49-E49</f>
        <v>6.4</v>
      </c>
      <c r="G49" s="131"/>
      <c r="H49" s="166">
        <f>$G49*B49*50/100</f>
        <v>0</v>
      </c>
      <c r="I49" s="167">
        <f>$G49*C49*50/100</f>
        <v>0</v>
      </c>
      <c r="J49" s="167">
        <f>$G49*D49*50/100</f>
        <v>0</v>
      </c>
      <c r="K49" s="168">
        <f t="shared" si="21"/>
        <v>0</v>
      </c>
      <c r="L49" s="170">
        <f t="shared" ref="L49:L61" si="23">$G49*E49*160/100</f>
        <v>0</v>
      </c>
      <c r="M49" s="173">
        <f>$G49*F49*15/100</f>
        <v>0</v>
      </c>
    </row>
    <row r="50" spans="1:20" x14ac:dyDescent="0.2">
      <c r="A50" s="201" t="s">
        <v>256</v>
      </c>
      <c r="B50" s="204">
        <v>34.200000000000003</v>
      </c>
      <c r="C50" s="204">
        <v>8.3000000000000007</v>
      </c>
      <c r="D50" s="204">
        <v>5.7</v>
      </c>
      <c r="E50" s="203">
        <v>1.5</v>
      </c>
      <c r="F50" s="171">
        <f t="shared" si="22"/>
        <v>50.3</v>
      </c>
      <c r="G50" s="250"/>
      <c r="H50" s="248">
        <f>$G50*B50*150/100</f>
        <v>0</v>
      </c>
      <c r="I50" s="202">
        <f>$G50*C50*150/100</f>
        <v>0</v>
      </c>
      <c r="J50" s="202">
        <f>$G50*D50*150/100</f>
        <v>0</v>
      </c>
      <c r="K50" s="168">
        <f t="shared" si="21"/>
        <v>0</v>
      </c>
      <c r="L50" s="170">
        <f t="shared" si="23"/>
        <v>0</v>
      </c>
      <c r="M50" s="173">
        <f>$G50*F50*150/100</f>
        <v>0</v>
      </c>
    </row>
    <row r="51" spans="1:20" x14ac:dyDescent="0.2">
      <c r="A51" s="201" t="s">
        <v>696</v>
      </c>
      <c r="B51" s="204">
        <v>23.2</v>
      </c>
      <c r="C51" s="204">
        <v>13.6</v>
      </c>
      <c r="D51" s="204">
        <v>6.2</v>
      </c>
      <c r="E51" s="203">
        <v>0.3</v>
      </c>
      <c r="F51" s="171">
        <f t="shared" si="22"/>
        <v>56.699999999999996</v>
      </c>
      <c r="G51" s="250"/>
      <c r="H51" s="248">
        <f>$G51*B51*200/100</f>
        <v>0</v>
      </c>
      <c r="I51" s="202">
        <f>$G51*C51*200/100</f>
        <v>0</v>
      </c>
      <c r="J51" s="202">
        <f>$G51*D51*200/100</f>
        <v>0</v>
      </c>
      <c r="K51" s="168">
        <f t="shared" si="21"/>
        <v>0</v>
      </c>
      <c r="L51" s="170">
        <f t="shared" si="23"/>
        <v>0</v>
      </c>
      <c r="M51" s="173">
        <f>$G51*F51*200/100</f>
        <v>0</v>
      </c>
    </row>
    <row r="52" spans="1:20" x14ac:dyDescent="0.2">
      <c r="A52" s="201" t="s">
        <v>255</v>
      </c>
      <c r="B52" s="204">
        <v>27</v>
      </c>
      <c r="C52" s="204">
        <v>11</v>
      </c>
      <c r="D52" s="204">
        <v>3.8</v>
      </c>
      <c r="E52" s="203">
        <v>0</v>
      </c>
      <c r="F52" s="171">
        <f t="shared" si="22"/>
        <v>58.2</v>
      </c>
      <c r="G52" s="250"/>
      <c r="H52" s="248">
        <f t="shared" ref="H52:J57" si="24">$G52*B52*150/100</f>
        <v>0</v>
      </c>
      <c r="I52" s="202">
        <f t="shared" si="24"/>
        <v>0</v>
      </c>
      <c r="J52" s="202">
        <f t="shared" si="24"/>
        <v>0</v>
      </c>
      <c r="K52" s="168">
        <f t="shared" si="21"/>
        <v>0</v>
      </c>
      <c r="L52" s="170">
        <f t="shared" si="23"/>
        <v>0</v>
      </c>
      <c r="M52" s="173">
        <f t="shared" ref="M52:M57" si="25">$G52*F52*150/100</f>
        <v>0</v>
      </c>
    </row>
    <row r="53" spans="1:20" x14ac:dyDescent="0.2">
      <c r="A53" s="201" t="s">
        <v>202</v>
      </c>
      <c r="B53" s="204">
        <v>20</v>
      </c>
      <c r="C53" s="204">
        <v>10</v>
      </c>
      <c r="D53" s="204">
        <v>4</v>
      </c>
      <c r="E53" s="203">
        <v>0</v>
      </c>
      <c r="F53" s="171">
        <f t="shared" si="22"/>
        <v>66</v>
      </c>
      <c r="G53" s="250"/>
      <c r="H53" s="248">
        <f t="shared" si="24"/>
        <v>0</v>
      </c>
      <c r="I53" s="202">
        <f t="shared" si="24"/>
        <v>0</v>
      </c>
      <c r="J53" s="202">
        <f t="shared" si="24"/>
        <v>0</v>
      </c>
      <c r="K53" s="168">
        <f t="shared" si="21"/>
        <v>0</v>
      </c>
      <c r="L53" s="170">
        <f t="shared" si="23"/>
        <v>0</v>
      </c>
      <c r="M53" s="173">
        <f t="shared" si="25"/>
        <v>0</v>
      </c>
    </row>
    <row r="54" spans="1:20" s="49" customFormat="1" x14ac:dyDescent="0.2">
      <c r="A54" s="234" t="s">
        <v>258</v>
      </c>
      <c r="B54" s="204">
        <v>65</v>
      </c>
      <c r="C54" s="204">
        <v>20</v>
      </c>
      <c r="D54" s="204">
        <v>4.5999999999999996</v>
      </c>
      <c r="E54" s="203">
        <v>0</v>
      </c>
      <c r="F54" s="171">
        <f t="shared" si="22"/>
        <v>10.4</v>
      </c>
      <c r="G54" s="250">
        <v>2</v>
      </c>
      <c r="H54" s="248">
        <f t="shared" si="24"/>
        <v>195</v>
      </c>
      <c r="I54" s="202">
        <f t="shared" si="24"/>
        <v>60</v>
      </c>
      <c r="J54" s="202">
        <f t="shared" si="24"/>
        <v>13.8</v>
      </c>
      <c r="K54" s="168">
        <f t="shared" si="21"/>
        <v>5742.96</v>
      </c>
      <c r="L54" s="170">
        <f t="shared" si="23"/>
        <v>0</v>
      </c>
      <c r="M54" s="173">
        <f t="shared" si="25"/>
        <v>31.2</v>
      </c>
      <c r="N54" s="57"/>
      <c r="O54" s="43"/>
      <c r="P54" s="43"/>
      <c r="Q54" s="43"/>
      <c r="R54" s="43"/>
      <c r="S54" s="43"/>
      <c r="T54" s="43"/>
    </row>
    <row r="55" spans="1:20" x14ac:dyDescent="0.2">
      <c r="A55" s="234" t="s">
        <v>195</v>
      </c>
      <c r="B55" s="204">
        <v>33</v>
      </c>
      <c r="C55" s="204">
        <v>14</v>
      </c>
      <c r="D55" s="204">
        <v>5</v>
      </c>
      <c r="E55" s="203">
        <v>1</v>
      </c>
      <c r="F55" s="245">
        <f t="shared" si="22"/>
        <v>47</v>
      </c>
      <c r="G55" s="256">
        <v>2</v>
      </c>
      <c r="H55" s="248">
        <f>$G55*B55*120/100</f>
        <v>79.2</v>
      </c>
      <c r="I55" s="202">
        <f>$G55*C55*120/100</f>
        <v>33.6</v>
      </c>
      <c r="J55" s="202">
        <f>$G55*D55*120/100</f>
        <v>12</v>
      </c>
      <c r="K55" s="621">
        <f t="shared" si="21"/>
        <v>2786.4</v>
      </c>
      <c r="L55" s="198">
        <f t="shared" ref="L55" si="26">$G55*E55*100/100</f>
        <v>2</v>
      </c>
      <c r="M55" s="202">
        <f>$G55*F55*120/100</f>
        <v>112.8</v>
      </c>
    </row>
    <row r="56" spans="1:20" x14ac:dyDescent="0.2">
      <c r="A56" s="201" t="s">
        <v>191</v>
      </c>
      <c r="B56" s="204">
        <v>12</v>
      </c>
      <c r="C56" s="204">
        <v>1</v>
      </c>
      <c r="D56" s="204">
        <v>2</v>
      </c>
      <c r="E56" s="203">
        <v>0.5</v>
      </c>
      <c r="F56" s="171">
        <f t="shared" si="22"/>
        <v>84.5</v>
      </c>
      <c r="G56" s="250"/>
      <c r="H56" s="248">
        <f t="shared" si="24"/>
        <v>0</v>
      </c>
      <c r="I56" s="202">
        <f t="shared" si="24"/>
        <v>0</v>
      </c>
      <c r="J56" s="202">
        <f t="shared" si="24"/>
        <v>0</v>
      </c>
      <c r="K56" s="168">
        <f t="shared" si="21"/>
        <v>0</v>
      </c>
      <c r="L56" s="170">
        <f t="shared" si="23"/>
        <v>0</v>
      </c>
      <c r="M56" s="173">
        <f t="shared" si="25"/>
        <v>0</v>
      </c>
    </row>
    <row r="57" spans="1:20" x14ac:dyDescent="0.2">
      <c r="A57" s="201" t="s">
        <v>314</v>
      </c>
      <c r="B57" s="204">
        <v>33.5</v>
      </c>
      <c r="C57" s="204">
        <v>25.8</v>
      </c>
      <c r="D57" s="204">
        <v>13.2</v>
      </c>
      <c r="E57" s="203">
        <v>0</v>
      </c>
      <c r="F57" s="171">
        <f t="shared" si="22"/>
        <v>27.500000000000004</v>
      </c>
      <c r="G57" s="250"/>
      <c r="H57" s="248">
        <f t="shared" si="24"/>
        <v>0</v>
      </c>
      <c r="I57" s="202">
        <f t="shared" si="24"/>
        <v>0</v>
      </c>
      <c r="J57" s="202">
        <f t="shared" si="24"/>
        <v>0</v>
      </c>
      <c r="K57" s="168">
        <f t="shared" si="21"/>
        <v>0</v>
      </c>
      <c r="L57" s="170">
        <f t="shared" si="23"/>
        <v>0</v>
      </c>
      <c r="M57" s="173">
        <f t="shared" si="25"/>
        <v>0</v>
      </c>
    </row>
    <row r="58" spans="1:20" x14ac:dyDescent="0.2">
      <c r="A58" s="161" t="s">
        <v>259</v>
      </c>
      <c r="B58" s="202">
        <v>63</v>
      </c>
      <c r="C58" s="202">
        <v>30</v>
      </c>
      <c r="D58" s="202">
        <v>2</v>
      </c>
      <c r="E58" s="203">
        <v>0</v>
      </c>
      <c r="F58" s="171">
        <f t="shared" si="22"/>
        <v>5</v>
      </c>
      <c r="G58" s="250"/>
      <c r="H58" s="248">
        <f t="shared" ref="H58:J59" si="27">$G58*B58*10/100</f>
        <v>0</v>
      </c>
      <c r="I58" s="202">
        <f t="shared" si="27"/>
        <v>0</v>
      </c>
      <c r="J58" s="202">
        <f t="shared" si="27"/>
        <v>0</v>
      </c>
      <c r="K58" s="168">
        <f t="shared" si="21"/>
        <v>0</v>
      </c>
      <c r="L58" s="170">
        <f t="shared" si="23"/>
        <v>0</v>
      </c>
      <c r="M58" s="173">
        <f>$G58*F58*10/100</f>
        <v>0</v>
      </c>
    </row>
    <row r="59" spans="1:20" x14ac:dyDescent="0.2">
      <c r="A59" s="161" t="s">
        <v>260</v>
      </c>
      <c r="B59" s="202">
        <v>55.7</v>
      </c>
      <c r="C59" s="202">
        <v>33.5</v>
      </c>
      <c r="D59" s="202">
        <v>6</v>
      </c>
      <c r="E59" s="203">
        <v>0</v>
      </c>
      <c r="F59" s="171">
        <f t="shared" si="22"/>
        <v>4.7999999999999972</v>
      </c>
      <c r="G59" s="250"/>
      <c r="H59" s="248">
        <f t="shared" si="27"/>
        <v>0</v>
      </c>
      <c r="I59" s="202">
        <f t="shared" si="27"/>
        <v>0</v>
      </c>
      <c r="J59" s="202">
        <f t="shared" si="27"/>
        <v>0</v>
      </c>
      <c r="K59" s="168">
        <f t="shared" si="21"/>
        <v>0</v>
      </c>
      <c r="L59" s="170">
        <f t="shared" si="23"/>
        <v>0</v>
      </c>
      <c r="M59" s="173">
        <f>$G59*F59*10/100</f>
        <v>0</v>
      </c>
    </row>
    <row r="60" spans="1:20" x14ac:dyDescent="0.2">
      <c r="A60" s="375" t="s">
        <v>114</v>
      </c>
      <c r="B60" s="595">
        <v>69</v>
      </c>
      <c r="C60" s="595">
        <v>0.1</v>
      </c>
      <c r="D60" s="595">
        <v>0.6</v>
      </c>
      <c r="E60" s="595">
        <v>2</v>
      </c>
      <c r="F60" s="171">
        <f t="shared" si="22"/>
        <v>28.299999999999997</v>
      </c>
      <c r="G60" s="141"/>
      <c r="H60" s="119">
        <f>$G60*B60*15/100</f>
        <v>0</v>
      </c>
      <c r="I60" s="120">
        <f>$G60*C60*15/100</f>
        <v>0</v>
      </c>
      <c r="J60" s="120">
        <f>$G60*D60*15/100</f>
        <v>0</v>
      </c>
      <c r="K60" s="121">
        <f>H60*16.7+I60*37.6+J60*16.7</f>
        <v>0</v>
      </c>
      <c r="L60" s="170">
        <f t="shared" si="23"/>
        <v>0</v>
      </c>
      <c r="M60" s="122">
        <f>$G60*F60*15/100</f>
        <v>0</v>
      </c>
    </row>
    <row r="61" spans="1:20" ht="13.5" thickBot="1" x14ac:dyDescent="0.25">
      <c r="A61" s="226" t="s">
        <v>261</v>
      </c>
      <c r="B61" s="229">
        <v>100</v>
      </c>
      <c r="C61" s="229">
        <v>0</v>
      </c>
      <c r="D61" s="229">
        <v>0</v>
      </c>
      <c r="E61" s="228">
        <v>0</v>
      </c>
      <c r="F61" s="171">
        <f t="shared" si="22"/>
        <v>0</v>
      </c>
      <c r="G61" s="251">
        <v>10</v>
      </c>
      <c r="H61" s="254">
        <f>$G61*B61*10/100</f>
        <v>100</v>
      </c>
      <c r="I61" s="229">
        <f>$G61*C61*10/100</f>
        <v>0</v>
      </c>
      <c r="J61" s="229">
        <f>$G61*D61*10/100</f>
        <v>0</v>
      </c>
      <c r="K61" s="230">
        <f t="shared" si="21"/>
        <v>1670</v>
      </c>
      <c r="L61" s="170">
        <f t="shared" si="23"/>
        <v>0</v>
      </c>
      <c r="M61" s="176">
        <f>$G61*F61*5/100</f>
        <v>0</v>
      </c>
      <c r="N61" s="73"/>
    </row>
    <row r="62" spans="1:20" ht="13.5" thickBot="1" x14ac:dyDescent="0.25">
      <c r="A62" s="385" t="s">
        <v>159</v>
      </c>
      <c r="B62" s="386"/>
      <c r="C62" s="386"/>
      <c r="D62" s="386"/>
      <c r="E62" s="387"/>
      <c r="F62" s="386"/>
      <c r="G62" s="388"/>
      <c r="H62" s="386"/>
      <c r="I62" s="386"/>
      <c r="J62" s="386"/>
      <c r="K62" s="386"/>
      <c r="L62" s="386"/>
      <c r="M62" s="389"/>
    </row>
    <row r="63" spans="1:20" x14ac:dyDescent="0.2">
      <c r="A63" s="224" t="s">
        <v>218</v>
      </c>
      <c r="B63" s="198">
        <v>0.5</v>
      </c>
      <c r="C63" s="198">
        <v>84</v>
      </c>
      <c r="D63" s="198">
        <v>0.5</v>
      </c>
      <c r="E63" s="199">
        <v>0</v>
      </c>
      <c r="F63" s="245">
        <f>100-B63-C63-D63-E63</f>
        <v>15</v>
      </c>
      <c r="G63" s="273"/>
      <c r="H63" s="247">
        <f>$G63*B63*10/100</f>
        <v>0</v>
      </c>
      <c r="I63" s="198">
        <f>$G63*C63*10/100</f>
        <v>0</v>
      </c>
      <c r="J63" s="198">
        <f>$G63*D63*10/100</f>
        <v>0</v>
      </c>
      <c r="K63" s="200">
        <f t="shared" ref="K63:K85" si="28">H63*16.7+I63*37.6+J63*16.7</f>
        <v>0</v>
      </c>
      <c r="L63" s="170">
        <f>$G63*E63*10/100</f>
        <v>0</v>
      </c>
      <c r="M63" s="170">
        <f>$G63*F63*10/100</f>
        <v>0</v>
      </c>
    </row>
    <row r="64" spans="1:20" x14ac:dyDescent="0.2">
      <c r="A64" s="161" t="s">
        <v>263</v>
      </c>
      <c r="B64" s="202">
        <v>1.6</v>
      </c>
      <c r="C64" s="202">
        <v>21</v>
      </c>
      <c r="D64" s="202">
        <v>17</v>
      </c>
      <c r="E64" s="199">
        <v>0</v>
      </c>
      <c r="F64" s="245">
        <f t="shared" ref="F64:F82" si="29">100-B64-C64-D64-E64</f>
        <v>60.400000000000006</v>
      </c>
      <c r="G64" s="250"/>
      <c r="H64" s="248">
        <f t="shared" ref="H64:J66" si="30">$G64*B64*40/100</f>
        <v>0</v>
      </c>
      <c r="I64" s="202">
        <f t="shared" si="30"/>
        <v>0</v>
      </c>
      <c r="J64" s="202">
        <f t="shared" si="30"/>
        <v>0</v>
      </c>
      <c r="K64" s="168">
        <f t="shared" si="28"/>
        <v>0</v>
      </c>
      <c r="L64" s="170">
        <f t="shared" ref="L64:L82" si="31">$G64*E64*10/100</f>
        <v>0</v>
      </c>
      <c r="M64" s="173">
        <f>$G64*F64*40/100</f>
        <v>0</v>
      </c>
    </row>
    <row r="65" spans="1:13" x14ac:dyDescent="0.2">
      <c r="A65" s="161" t="s">
        <v>264</v>
      </c>
      <c r="B65" s="202">
        <v>4</v>
      </c>
      <c r="C65" s="202">
        <v>24</v>
      </c>
      <c r="D65" s="202">
        <v>20</v>
      </c>
      <c r="E65" s="199">
        <v>0</v>
      </c>
      <c r="F65" s="245">
        <f t="shared" si="29"/>
        <v>52</v>
      </c>
      <c r="G65" s="250"/>
      <c r="H65" s="248">
        <f t="shared" si="30"/>
        <v>0</v>
      </c>
      <c r="I65" s="202">
        <f t="shared" si="30"/>
        <v>0</v>
      </c>
      <c r="J65" s="202">
        <f t="shared" si="30"/>
        <v>0</v>
      </c>
      <c r="K65" s="168">
        <f t="shared" si="28"/>
        <v>0</v>
      </c>
      <c r="L65" s="170">
        <f t="shared" si="31"/>
        <v>0</v>
      </c>
      <c r="M65" s="173">
        <f>$G65*F65*40/100</f>
        <v>0</v>
      </c>
    </row>
    <row r="66" spans="1:13" x14ac:dyDescent="0.2">
      <c r="A66" s="234" t="s">
        <v>265</v>
      </c>
      <c r="B66" s="204">
        <v>15</v>
      </c>
      <c r="C66" s="204">
        <v>15</v>
      </c>
      <c r="D66" s="204">
        <v>20</v>
      </c>
      <c r="E66" s="199">
        <v>0</v>
      </c>
      <c r="F66" s="245">
        <f t="shared" si="29"/>
        <v>50</v>
      </c>
      <c r="G66" s="250"/>
      <c r="H66" s="248">
        <f t="shared" si="30"/>
        <v>0</v>
      </c>
      <c r="I66" s="202">
        <f t="shared" si="30"/>
        <v>0</v>
      </c>
      <c r="J66" s="202">
        <f t="shared" si="30"/>
        <v>0</v>
      </c>
      <c r="K66" s="168">
        <f t="shared" si="28"/>
        <v>0</v>
      </c>
      <c r="L66" s="170">
        <f t="shared" si="31"/>
        <v>0</v>
      </c>
      <c r="M66" s="173">
        <f>$G66*F66*40/100</f>
        <v>0</v>
      </c>
    </row>
    <row r="67" spans="1:13" x14ac:dyDescent="0.2">
      <c r="A67" s="201" t="s">
        <v>276</v>
      </c>
      <c r="B67" s="202">
        <v>4</v>
      </c>
      <c r="C67" s="202">
        <v>7</v>
      </c>
      <c r="D67" s="202">
        <v>15.5</v>
      </c>
      <c r="E67" s="199">
        <v>0</v>
      </c>
      <c r="F67" s="245">
        <f t="shared" si="29"/>
        <v>73.5</v>
      </c>
      <c r="G67" s="250"/>
      <c r="H67" s="248">
        <f>$G67*B67*20/100</f>
        <v>0</v>
      </c>
      <c r="I67" s="202">
        <f>$G67*C67*20/100</f>
        <v>0</v>
      </c>
      <c r="J67" s="202">
        <f>$G67*D67*20/100</f>
        <v>0</v>
      </c>
      <c r="K67" s="168">
        <f t="shared" si="28"/>
        <v>0</v>
      </c>
      <c r="L67" s="170">
        <f t="shared" si="31"/>
        <v>0</v>
      </c>
      <c r="M67" s="173">
        <f>$G67*F67*20/100</f>
        <v>0</v>
      </c>
    </row>
    <row r="68" spans="1:13" x14ac:dyDescent="0.2">
      <c r="A68" s="161" t="s">
        <v>262</v>
      </c>
      <c r="B68" s="202">
        <v>1.5</v>
      </c>
      <c r="C68" s="202">
        <v>29.7</v>
      </c>
      <c r="D68" s="202">
        <v>29.5</v>
      </c>
      <c r="E68" s="199">
        <v>0</v>
      </c>
      <c r="F68" s="245">
        <f t="shared" si="29"/>
        <v>39.299999999999997</v>
      </c>
      <c r="G68" s="250"/>
      <c r="H68" s="248">
        <f t="shared" ref="H68:J69" si="32">$G68*B68*40/100</f>
        <v>0</v>
      </c>
      <c r="I68" s="202">
        <f t="shared" si="32"/>
        <v>0</v>
      </c>
      <c r="J68" s="202">
        <f t="shared" si="32"/>
        <v>0</v>
      </c>
      <c r="K68" s="168">
        <f t="shared" si="28"/>
        <v>0</v>
      </c>
      <c r="L68" s="170">
        <f t="shared" si="31"/>
        <v>0</v>
      </c>
      <c r="M68" s="173">
        <f>$G68*F68*40/100</f>
        <v>0</v>
      </c>
    </row>
    <row r="69" spans="1:13" x14ac:dyDescent="0.2">
      <c r="A69" s="234" t="s">
        <v>274</v>
      </c>
      <c r="B69" s="204">
        <v>2</v>
      </c>
      <c r="C69" s="204">
        <v>25.6</v>
      </c>
      <c r="D69" s="204">
        <v>36</v>
      </c>
      <c r="E69" s="199">
        <v>0</v>
      </c>
      <c r="F69" s="245">
        <f t="shared" si="29"/>
        <v>36.400000000000006</v>
      </c>
      <c r="G69" s="250"/>
      <c r="H69" s="248">
        <f t="shared" si="32"/>
        <v>0</v>
      </c>
      <c r="I69" s="202">
        <f t="shared" si="32"/>
        <v>0</v>
      </c>
      <c r="J69" s="202">
        <f t="shared" si="32"/>
        <v>0</v>
      </c>
      <c r="K69" s="168">
        <f t="shared" si="28"/>
        <v>0</v>
      </c>
      <c r="L69" s="170">
        <f t="shared" si="31"/>
        <v>0</v>
      </c>
      <c r="M69" s="173">
        <f>$G69*F69*40/100</f>
        <v>0</v>
      </c>
    </row>
    <row r="70" spans="1:13" x14ac:dyDescent="0.2">
      <c r="A70" s="161" t="s">
        <v>266</v>
      </c>
      <c r="B70" s="202">
        <v>2.9</v>
      </c>
      <c r="C70" s="202">
        <v>12.6</v>
      </c>
      <c r="D70" s="202">
        <v>10.199999999999999</v>
      </c>
      <c r="E70" s="199">
        <v>0</v>
      </c>
      <c r="F70" s="245">
        <f t="shared" si="29"/>
        <v>74.3</v>
      </c>
      <c r="G70" s="250"/>
      <c r="H70" s="248">
        <f>$G70*B70*20/100</f>
        <v>0</v>
      </c>
      <c r="I70" s="202">
        <f>$G70*C70*20/100</f>
        <v>0</v>
      </c>
      <c r="J70" s="202">
        <f>$G70*D70*20/100</f>
        <v>0</v>
      </c>
      <c r="K70" s="168">
        <f t="shared" si="28"/>
        <v>0</v>
      </c>
      <c r="L70" s="170">
        <f t="shared" si="31"/>
        <v>0</v>
      </c>
      <c r="M70" s="173">
        <f>$G70*F70*20/100</f>
        <v>0</v>
      </c>
    </row>
    <row r="71" spans="1:13" x14ac:dyDescent="0.2">
      <c r="A71" s="234" t="s">
        <v>275</v>
      </c>
      <c r="B71" s="204">
        <v>4.9000000000000004</v>
      </c>
      <c r="C71" s="204">
        <v>16.100000000000001</v>
      </c>
      <c r="D71" s="204">
        <v>19.899999999999999</v>
      </c>
      <c r="E71" s="199">
        <v>0</v>
      </c>
      <c r="F71" s="245">
        <f t="shared" si="29"/>
        <v>59.1</v>
      </c>
      <c r="G71" s="250"/>
      <c r="H71" s="248">
        <f>$G71*B71*40/100</f>
        <v>0</v>
      </c>
      <c r="I71" s="202">
        <f>$G71*C71*40/100</f>
        <v>0</v>
      </c>
      <c r="J71" s="202">
        <f>$G71*D71*40/100</f>
        <v>0</v>
      </c>
      <c r="K71" s="168">
        <f t="shared" si="28"/>
        <v>0</v>
      </c>
      <c r="L71" s="170">
        <f t="shared" si="31"/>
        <v>0</v>
      </c>
      <c r="M71" s="173">
        <f>$G71*F71*40/100</f>
        <v>0</v>
      </c>
    </row>
    <row r="72" spans="1:13" x14ac:dyDescent="0.2">
      <c r="A72" s="234" t="s">
        <v>269</v>
      </c>
      <c r="B72" s="204">
        <v>2</v>
      </c>
      <c r="C72" s="204">
        <v>30.5</v>
      </c>
      <c r="D72" s="204">
        <v>21.5</v>
      </c>
      <c r="E72" s="199">
        <v>0</v>
      </c>
      <c r="F72" s="245">
        <f t="shared" si="29"/>
        <v>46</v>
      </c>
      <c r="G72" s="250"/>
      <c r="H72" s="248">
        <f>$G72*B72*30/100</f>
        <v>0</v>
      </c>
      <c r="I72" s="202">
        <f>$G72*C72*30/100</f>
        <v>0</v>
      </c>
      <c r="J72" s="202">
        <f>$G72*D72*30/100</f>
        <v>0</v>
      </c>
      <c r="K72" s="168">
        <f t="shared" si="28"/>
        <v>0</v>
      </c>
      <c r="L72" s="170">
        <f t="shared" si="31"/>
        <v>0</v>
      </c>
      <c r="M72" s="173">
        <f>$G72*F72*30/100</f>
        <v>0</v>
      </c>
    </row>
    <row r="73" spans="1:13" x14ac:dyDescent="0.2">
      <c r="A73" s="161" t="s">
        <v>270</v>
      </c>
      <c r="B73" s="202">
        <v>2.7</v>
      </c>
      <c r="C73" s="202">
        <v>4</v>
      </c>
      <c r="D73" s="202">
        <v>11</v>
      </c>
      <c r="E73" s="199">
        <v>0</v>
      </c>
      <c r="F73" s="245">
        <f t="shared" si="29"/>
        <v>82.3</v>
      </c>
      <c r="G73" s="250"/>
      <c r="H73" s="248">
        <f t="shared" ref="H73:J75" si="33">$G73*B73*120/100</f>
        <v>0</v>
      </c>
      <c r="I73" s="202">
        <f t="shared" si="33"/>
        <v>0</v>
      </c>
      <c r="J73" s="202">
        <f t="shared" si="33"/>
        <v>0</v>
      </c>
      <c r="K73" s="168">
        <f t="shared" si="28"/>
        <v>0</v>
      </c>
      <c r="L73" s="170">
        <f t="shared" si="31"/>
        <v>0</v>
      </c>
      <c r="M73" s="173">
        <f>$G73*F73*120/100</f>
        <v>0</v>
      </c>
    </row>
    <row r="74" spans="1:13" x14ac:dyDescent="0.2">
      <c r="A74" s="161" t="s">
        <v>271</v>
      </c>
      <c r="B74" s="202">
        <v>3</v>
      </c>
      <c r="C74" s="202">
        <v>0</v>
      </c>
      <c r="D74" s="202">
        <v>12.5</v>
      </c>
      <c r="E74" s="199">
        <v>0</v>
      </c>
      <c r="F74" s="245">
        <f t="shared" si="29"/>
        <v>84.5</v>
      </c>
      <c r="G74" s="250"/>
      <c r="H74" s="248">
        <f t="shared" si="33"/>
        <v>0</v>
      </c>
      <c r="I74" s="202">
        <f t="shared" si="33"/>
        <v>0</v>
      </c>
      <c r="J74" s="202">
        <f t="shared" si="33"/>
        <v>0</v>
      </c>
      <c r="K74" s="168">
        <f t="shared" si="28"/>
        <v>0</v>
      </c>
      <c r="L74" s="170">
        <f t="shared" si="31"/>
        <v>0</v>
      </c>
      <c r="M74" s="173">
        <f>$G74*F74*120/100</f>
        <v>0</v>
      </c>
    </row>
    <row r="75" spans="1:13" x14ac:dyDescent="0.2">
      <c r="A75" s="201" t="s">
        <v>272</v>
      </c>
      <c r="B75" s="202">
        <v>2</v>
      </c>
      <c r="C75" s="202">
        <v>32</v>
      </c>
      <c r="D75" s="202">
        <v>8.5</v>
      </c>
      <c r="E75" s="199">
        <v>0</v>
      </c>
      <c r="F75" s="245">
        <f t="shared" si="29"/>
        <v>57.5</v>
      </c>
      <c r="G75" s="250"/>
      <c r="H75" s="248">
        <f t="shared" si="33"/>
        <v>0</v>
      </c>
      <c r="I75" s="202">
        <f t="shared" si="33"/>
        <v>0</v>
      </c>
      <c r="J75" s="202">
        <f t="shared" si="33"/>
        <v>0</v>
      </c>
      <c r="K75" s="168">
        <f t="shared" si="28"/>
        <v>0</v>
      </c>
      <c r="L75" s="170">
        <f t="shared" si="31"/>
        <v>0</v>
      </c>
      <c r="M75" s="173">
        <f>$G75*F75*120/100</f>
        <v>0</v>
      </c>
    </row>
    <row r="76" spans="1:13" x14ac:dyDescent="0.2">
      <c r="A76" s="161" t="s">
        <v>273</v>
      </c>
      <c r="B76" s="202">
        <v>3.3</v>
      </c>
      <c r="C76" s="202">
        <v>33</v>
      </c>
      <c r="D76" s="202">
        <v>2.6</v>
      </c>
      <c r="E76" s="199">
        <v>0</v>
      </c>
      <c r="F76" s="245">
        <f t="shared" si="29"/>
        <v>61.1</v>
      </c>
      <c r="G76" s="250">
        <v>1</v>
      </c>
      <c r="H76" s="248">
        <f>$G76*B76*30/100</f>
        <v>0.99</v>
      </c>
      <c r="I76" s="202">
        <f>$G76*C76*30/100</f>
        <v>9.9</v>
      </c>
      <c r="J76" s="202">
        <f>$G76*D76*30/100</f>
        <v>0.78</v>
      </c>
      <c r="K76" s="168">
        <f t="shared" si="28"/>
        <v>401.79900000000004</v>
      </c>
      <c r="L76" s="170">
        <f t="shared" si="31"/>
        <v>0</v>
      </c>
      <c r="M76" s="173">
        <f>$G76*F76*30/100</f>
        <v>18.329999999999998</v>
      </c>
    </row>
    <row r="77" spans="1:13" x14ac:dyDescent="0.2">
      <c r="A77" s="161" t="s">
        <v>267</v>
      </c>
      <c r="B77" s="204">
        <v>24.5</v>
      </c>
      <c r="C77" s="204">
        <v>3.4</v>
      </c>
      <c r="D77" s="204">
        <v>4</v>
      </c>
      <c r="E77" s="199">
        <v>0</v>
      </c>
      <c r="F77" s="245">
        <f t="shared" si="29"/>
        <v>68.099999999999994</v>
      </c>
      <c r="G77" s="250"/>
      <c r="H77" s="248">
        <f t="shared" ref="H77:J79" si="34">$G77*B77*125/100</f>
        <v>0</v>
      </c>
      <c r="I77" s="202">
        <f t="shared" si="34"/>
        <v>0</v>
      </c>
      <c r="J77" s="202">
        <f t="shared" si="34"/>
        <v>0</v>
      </c>
      <c r="K77" s="168">
        <f t="shared" si="28"/>
        <v>0</v>
      </c>
      <c r="L77" s="170">
        <f t="shared" si="31"/>
        <v>0</v>
      </c>
      <c r="M77" s="173">
        <f>$G77*F77*125/100</f>
        <v>0</v>
      </c>
    </row>
    <row r="78" spans="1:13" x14ac:dyDescent="0.2">
      <c r="A78" s="161" t="s">
        <v>350</v>
      </c>
      <c r="B78" s="204">
        <v>5.8</v>
      </c>
      <c r="C78" s="204">
        <v>4.4000000000000004</v>
      </c>
      <c r="D78" s="204">
        <v>5</v>
      </c>
      <c r="E78" s="199">
        <v>0</v>
      </c>
      <c r="F78" s="245">
        <f t="shared" si="29"/>
        <v>84.8</v>
      </c>
      <c r="G78" s="250"/>
      <c r="H78" s="248">
        <f t="shared" si="34"/>
        <v>0</v>
      </c>
      <c r="I78" s="202">
        <f t="shared" si="34"/>
        <v>0</v>
      </c>
      <c r="J78" s="202">
        <f t="shared" si="34"/>
        <v>0</v>
      </c>
      <c r="K78" s="168">
        <f t="shared" si="28"/>
        <v>0</v>
      </c>
      <c r="L78" s="170">
        <f t="shared" si="31"/>
        <v>0</v>
      </c>
      <c r="M78" s="173">
        <f>$G78*F78*125/100</f>
        <v>0</v>
      </c>
    </row>
    <row r="79" spans="1:13" x14ac:dyDescent="0.2">
      <c r="A79" s="226" t="s">
        <v>351</v>
      </c>
      <c r="B79" s="235">
        <v>7.6</v>
      </c>
      <c r="C79" s="235">
        <v>0.1</v>
      </c>
      <c r="D79" s="235">
        <v>5.7</v>
      </c>
      <c r="E79" s="199">
        <v>0</v>
      </c>
      <c r="F79" s="245">
        <f t="shared" si="29"/>
        <v>86.600000000000009</v>
      </c>
      <c r="G79" s="381"/>
      <c r="H79" s="254">
        <f t="shared" si="34"/>
        <v>0</v>
      </c>
      <c r="I79" s="229">
        <f t="shared" si="34"/>
        <v>0</v>
      </c>
      <c r="J79" s="229">
        <f t="shared" si="34"/>
        <v>0</v>
      </c>
      <c r="K79" s="230">
        <f t="shared" si="28"/>
        <v>0</v>
      </c>
      <c r="L79" s="170">
        <f t="shared" si="31"/>
        <v>0</v>
      </c>
      <c r="M79" s="176">
        <f>$G79*F79*125/100</f>
        <v>0</v>
      </c>
    </row>
    <row r="80" spans="1:13" x14ac:dyDescent="0.2">
      <c r="A80" s="172" t="s">
        <v>134</v>
      </c>
      <c r="B80" s="173">
        <v>4.8</v>
      </c>
      <c r="C80" s="173">
        <v>1.55</v>
      </c>
      <c r="D80" s="173">
        <v>3.15</v>
      </c>
      <c r="E80" s="173">
        <v>0</v>
      </c>
      <c r="F80" s="245">
        <f t="shared" si="29"/>
        <v>90.5</v>
      </c>
      <c r="G80" s="131"/>
      <c r="H80" s="125">
        <f t="shared" ref="H80:J82" si="35">$G80*B80*100/100</f>
        <v>0</v>
      </c>
      <c r="I80" s="126">
        <f t="shared" si="35"/>
        <v>0</v>
      </c>
      <c r="J80" s="126">
        <f t="shared" si="35"/>
        <v>0</v>
      </c>
      <c r="K80" s="127">
        <f>H80*16.7+I80*37.6+J80*16.7</f>
        <v>0</v>
      </c>
      <c r="L80" s="170">
        <f t="shared" si="31"/>
        <v>0</v>
      </c>
      <c r="M80" s="128">
        <f>$G80*F80*200/100</f>
        <v>0</v>
      </c>
    </row>
    <row r="81" spans="1:13" x14ac:dyDescent="0.2">
      <c r="A81" s="172" t="s">
        <v>135</v>
      </c>
      <c r="B81" s="173">
        <v>5</v>
      </c>
      <c r="C81" s="173">
        <v>0.1</v>
      </c>
      <c r="D81" s="173">
        <v>3.5</v>
      </c>
      <c r="E81" s="173">
        <v>0</v>
      </c>
      <c r="F81" s="245">
        <f t="shared" si="29"/>
        <v>91.4</v>
      </c>
      <c r="G81" s="131"/>
      <c r="H81" s="125">
        <f t="shared" si="35"/>
        <v>0</v>
      </c>
      <c r="I81" s="126">
        <f t="shared" si="35"/>
        <v>0</v>
      </c>
      <c r="J81" s="126">
        <f t="shared" si="35"/>
        <v>0</v>
      </c>
      <c r="K81" s="127">
        <f>H81*16.7+I81*37.6+J81*16.7</f>
        <v>0</v>
      </c>
      <c r="L81" s="170">
        <f t="shared" si="31"/>
        <v>0</v>
      </c>
      <c r="M81" s="128">
        <f>$G81*F81*200/100</f>
        <v>0</v>
      </c>
    </row>
    <row r="82" spans="1:13" ht="13.5" thickBot="1" x14ac:dyDescent="0.25">
      <c r="A82" s="172" t="s">
        <v>349</v>
      </c>
      <c r="B82" s="173">
        <v>4.5999999999999996</v>
      </c>
      <c r="C82" s="173">
        <v>3.9</v>
      </c>
      <c r="D82" s="163">
        <v>3.5</v>
      </c>
      <c r="E82" s="173">
        <v>0</v>
      </c>
      <c r="F82" s="245">
        <f t="shared" si="29"/>
        <v>88</v>
      </c>
      <c r="G82" s="131"/>
      <c r="H82" s="125">
        <f t="shared" si="35"/>
        <v>0</v>
      </c>
      <c r="I82" s="126">
        <f t="shared" si="35"/>
        <v>0</v>
      </c>
      <c r="J82" s="126">
        <f t="shared" si="35"/>
        <v>0</v>
      </c>
      <c r="K82" s="127">
        <f>H82*16.7+I82*37.6+J82*16.7</f>
        <v>0</v>
      </c>
      <c r="L82" s="170">
        <f t="shared" si="31"/>
        <v>0</v>
      </c>
      <c r="M82" s="128">
        <f>$G82*F82*200/100</f>
        <v>0</v>
      </c>
    </row>
    <row r="83" spans="1:13" ht="13.5" thickBot="1" x14ac:dyDescent="0.25">
      <c r="A83" s="470" t="s">
        <v>682</v>
      </c>
      <c r="B83" s="464"/>
      <c r="C83" s="464"/>
      <c r="D83" s="464"/>
      <c r="E83" s="465"/>
      <c r="F83" s="466"/>
      <c r="G83" s="467"/>
      <c r="H83" s="466"/>
      <c r="I83" s="466"/>
      <c r="J83" s="466"/>
      <c r="K83" s="468"/>
      <c r="L83" s="468"/>
      <c r="M83" s="469"/>
    </row>
    <row r="84" spans="1:13" x14ac:dyDescent="0.2">
      <c r="A84" s="197" t="s">
        <v>683</v>
      </c>
      <c r="B84" s="198">
        <v>36</v>
      </c>
      <c r="C84" s="198">
        <v>8</v>
      </c>
      <c r="D84" s="198">
        <v>9.5</v>
      </c>
      <c r="E84" s="199">
        <v>1</v>
      </c>
      <c r="F84" s="245">
        <f t="shared" ref="F84" si="36">100-B84-C84-D84</f>
        <v>46.5</v>
      </c>
      <c r="G84" s="249">
        <v>2</v>
      </c>
      <c r="H84" s="247">
        <f>$G84*B84*250/100</f>
        <v>180</v>
      </c>
      <c r="I84" s="198">
        <f>$G84*C84*250/100</f>
        <v>40</v>
      </c>
      <c r="J84" s="198">
        <f>$G84*D84*250/100</f>
        <v>47.5</v>
      </c>
      <c r="K84" s="200">
        <f t="shared" ref="K84" si="37">H84*16.7+I84*37.6+J84*16.7</f>
        <v>5303.25</v>
      </c>
      <c r="L84" s="170">
        <f t="shared" ref="L84" si="38">$G84*E84*100/100</f>
        <v>2</v>
      </c>
      <c r="M84" s="198">
        <f>$G84*F84*250/100</f>
        <v>232.5</v>
      </c>
    </row>
    <row r="85" spans="1:13" x14ac:dyDescent="0.2">
      <c r="A85" s="161" t="s">
        <v>278</v>
      </c>
      <c r="B85" s="225">
        <v>33</v>
      </c>
      <c r="C85" s="225">
        <v>16</v>
      </c>
      <c r="D85" s="225">
        <v>21</v>
      </c>
      <c r="E85" s="202">
        <v>0.4</v>
      </c>
      <c r="F85" s="245">
        <f>100-B85-C85-D85-E85</f>
        <v>29.6</v>
      </c>
      <c r="G85" s="256"/>
      <c r="H85" s="248">
        <f t="shared" ref="H85:J85" si="39">$G85*B85*250/100</f>
        <v>0</v>
      </c>
      <c r="I85" s="202">
        <f t="shared" si="39"/>
        <v>0</v>
      </c>
      <c r="J85" s="202">
        <f t="shared" si="39"/>
        <v>0</v>
      </c>
      <c r="K85" s="168">
        <f t="shared" si="28"/>
        <v>0</v>
      </c>
      <c r="L85" s="170">
        <f>$G85*E85*250/100</f>
        <v>0</v>
      </c>
      <c r="M85" s="202">
        <f>$G85*F85*250/100</f>
        <v>0</v>
      </c>
    </row>
    <row r="86" spans="1:13" x14ac:dyDescent="0.2">
      <c r="A86" s="383" t="s">
        <v>313</v>
      </c>
      <c r="B86" s="74"/>
      <c r="C86" s="74"/>
      <c r="D86" s="74"/>
      <c r="E86" s="75"/>
      <c r="F86" s="74"/>
      <c r="G86" s="76"/>
      <c r="H86" s="74"/>
      <c r="I86" s="74"/>
      <c r="J86" s="74"/>
      <c r="K86" s="74"/>
      <c r="L86" s="74"/>
      <c r="M86" s="74"/>
    </row>
    <row r="87" spans="1:13" ht="13.5" thickBot="1" x14ac:dyDescent="0.25">
      <c r="A87" s="383" t="s">
        <v>311</v>
      </c>
      <c r="B87" s="418" t="s">
        <v>8</v>
      </c>
      <c r="C87" s="418" t="s">
        <v>9</v>
      </c>
      <c r="D87" s="418" t="s">
        <v>10</v>
      </c>
      <c r="E87" s="610" t="s">
        <v>144</v>
      </c>
      <c r="F87" s="418" t="s">
        <v>117</v>
      </c>
      <c r="G87" s="76"/>
      <c r="H87" s="74"/>
      <c r="I87" s="418"/>
      <c r="J87" s="74"/>
      <c r="K87" s="74"/>
      <c r="L87" s="74"/>
      <c r="M87" s="74"/>
    </row>
    <row r="88" spans="1:13" ht="13.5" thickBot="1" x14ac:dyDescent="0.25">
      <c r="A88" s="597"/>
      <c r="B88" s="608"/>
      <c r="C88" s="598"/>
      <c r="D88" s="609"/>
      <c r="E88" s="599"/>
      <c r="F88" s="598"/>
      <c r="G88" s="600"/>
      <c r="H88" s="596">
        <f>$G88*B88*E89/100</f>
        <v>0</v>
      </c>
      <c r="I88" s="393">
        <f>$G88*C88*E89/100</f>
        <v>0</v>
      </c>
      <c r="J88" s="393">
        <f>$G88*D88*E89/100</f>
        <v>0</v>
      </c>
      <c r="K88" s="394">
        <f>H88*16.7+I88*37.6+J88*16.7</f>
        <v>0</v>
      </c>
      <c r="L88" s="393">
        <f>$G88*E88*D89/100</f>
        <v>0</v>
      </c>
      <c r="M88" s="393">
        <f>$G88*F88*E89/100</f>
        <v>0</v>
      </c>
    </row>
    <row r="89" spans="1:13" ht="13.5" thickBot="1" x14ac:dyDescent="0.25">
      <c r="A89" s="661" t="s">
        <v>282</v>
      </c>
      <c r="B89" s="661"/>
      <c r="C89" s="661"/>
      <c r="D89" s="661"/>
      <c r="E89" s="601"/>
      <c r="F89" s="74"/>
      <c r="G89" s="76"/>
      <c r="H89" s="373" t="s">
        <v>8</v>
      </c>
      <c r="I89" s="373" t="s">
        <v>9</v>
      </c>
      <c r="J89" s="373" t="s">
        <v>10</v>
      </c>
      <c r="K89" s="373" t="s">
        <v>5</v>
      </c>
      <c r="L89" s="373" t="s">
        <v>144</v>
      </c>
      <c r="M89" s="373" t="s">
        <v>117</v>
      </c>
    </row>
    <row r="90" spans="1:13" x14ac:dyDescent="0.2">
      <c r="A90" s="384" t="s">
        <v>281</v>
      </c>
      <c r="B90" s="74"/>
      <c r="C90" s="74"/>
      <c r="D90" s="74"/>
      <c r="E90" s="75"/>
      <c r="F90" s="74"/>
      <c r="G90" s="76"/>
      <c r="H90" s="457">
        <f>SUM(H2:H88)</f>
        <v>791.83999999999992</v>
      </c>
      <c r="I90" s="457">
        <f>SUM(I2:I88)</f>
        <v>160.69</v>
      </c>
      <c r="J90" s="457">
        <f>SUM(J2:J88)</f>
        <v>102.08</v>
      </c>
      <c r="K90" s="457">
        <f>SUM(K2:K88)</f>
        <v>20970.407999999999</v>
      </c>
      <c r="L90" s="457">
        <f>SUM(L2:L88)</f>
        <v>6.67</v>
      </c>
      <c r="M90" s="457">
        <f>SUM(M4:M12)+SUM(M20:M79)</f>
        <v>1989.99</v>
      </c>
    </row>
    <row r="104" spans="15:20" x14ac:dyDescent="0.2">
      <c r="O104" s="58"/>
      <c r="P104" s="58"/>
      <c r="Q104" s="58"/>
      <c r="R104" s="58"/>
      <c r="S104" s="58"/>
      <c r="T104" s="58"/>
    </row>
    <row r="133" spans="15:20" x14ac:dyDescent="0.2">
      <c r="O133" s="49"/>
      <c r="P133" s="49"/>
      <c r="Q133" s="49"/>
      <c r="R133" s="49"/>
      <c r="S133" s="49"/>
      <c r="T133" s="49"/>
    </row>
    <row r="134" spans="15:20" x14ac:dyDescent="0.2">
      <c r="O134" s="49"/>
      <c r="P134" s="49"/>
      <c r="Q134" s="49"/>
      <c r="R134" s="49"/>
      <c r="S134" s="49"/>
      <c r="T134" s="49"/>
    </row>
  </sheetData>
  <sheetProtection password="F2E4" sheet="1" objects="1" scenarios="1" selectLockedCells="1"/>
  <mergeCells count="9">
    <mergeCell ref="A89:D89"/>
    <mergeCell ref="P17:S19"/>
    <mergeCell ref="A1:A2"/>
    <mergeCell ref="B1:E1"/>
    <mergeCell ref="H1:J1"/>
    <mergeCell ref="P2:S3"/>
    <mergeCell ref="A3:K3"/>
    <mergeCell ref="P7:S14"/>
    <mergeCell ref="A13:M13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1"/>
  <sheetViews>
    <sheetView workbookViewId="0">
      <selection activeCell="G26" sqref="G26"/>
    </sheetView>
  </sheetViews>
  <sheetFormatPr defaultColWidth="11" defaultRowHeight="12.75" x14ac:dyDescent="0.2"/>
  <cols>
    <col min="1" max="1" width="23.140625" style="59" customWidth="1"/>
    <col min="2" max="4" width="4.7109375" style="60" customWidth="1"/>
    <col min="5" max="5" width="4.7109375" style="61" customWidth="1"/>
    <col min="6" max="6" width="6.28515625" style="60" customWidth="1"/>
    <col min="7" max="7" width="10.5703125" style="62" customWidth="1"/>
    <col min="8" max="10" width="5.7109375" style="60" customWidth="1"/>
    <col min="11" max="12" width="7.7109375" style="60" customWidth="1"/>
    <col min="13" max="13" width="6.7109375" style="63" customWidth="1"/>
    <col min="14" max="14" width="0.5703125" style="64" customWidth="1"/>
    <col min="15" max="15" width="3.7109375" style="43" customWidth="1"/>
    <col min="16" max="16" width="19.85546875" style="43" customWidth="1"/>
    <col min="17" max="18" width="11.42578125" style="43" customWidth="1"/>
    <col min="19" max="19" width="7.7109375" style="43" customWidth="1"/>
    <col min="20" max="20" width="4" style="43" customWidth="1"/>
    <col min="21" max="21" width="24.7109375" style="1" customWidth="1"/>
    <col min="22" max="16384" width="11" style="1"/>
  </cols>
  <sheetData>
    <row r="1" spans="1:22" ht="18" customHeight="1" thickBot="1" x14ac:dyDescent="0.35">
      <c r="A1" s="673" t="s">
        <v>138</v>
      </c>
      <c r="B1" s="675" t="s">
        <v>141</v>
      </c>
      <c r="C1" s="675"/>
      <c r="D1" s="675"/>
      <c r="E1" s="675"/>
      <c r="F1" s="437"/>
      <c r="G1" s="438" t="s">
        <v>140</v>
      </c>
      <c r="H1" s="676" t="s">
        <v>142</v>
      </c>
      <c r="I1" s="676"/>
      <c r="J1" s="676"/>
      <c r="K1" s="439" t="s">
        <v>143</v>
      </c>
      <c r="L1" s="439" t="s">
        <v>144</v>
      </c>
      <c r="M1" s="440" t="s">
        <v>117</v>
      </c>
      <c r="O1" s="48"/>
      <c r="P1" s="488" t="s">
        <v>373</v>
      </c>
      <c r="Q1" s="48"/>
      <c r="R1" s="48"/>
      <c r="S1" s="48"/>
      <c r="T1" s="48"/>
    </row>
    <row r="2" spans="1:22" ht="12.75" customHeight="1" thickBot="1" x14ac:dyDescent="0.25">
      <c r="A2" s="674"/>
      <c r="B2" s="441" t="s">
        <v>8</v>
      </c>
      <c r="C2" s="442" t="s">
        <v>9</v>
      </c>
      <c r="D2" s="442" t="s">
        <v>10</v>
      </c>
      <c r="E2" s="443" t="s">
        <v>144</v>
      </c>
      <c r="F2" s="444" t="s">
        <v>145</v>
      </c>
      <c r="G2" s="445" t="s">
        <v>139</v>
      </c>
      <c r="H2" s="446" t="s">
        <v>8</v>
      </c>
      <c r="I2" s="447" t="s">
        <v>9</v>
      </c>
      <c r="J2" s="448" t="s">
        <v>10</v>
      </c>
      <c r="K2" s="449" t="s">
        <v>5</v>
      </c>
      <c r="L2" s="449"/>
      <c r="M2" s="450"/>
      <c r="O2" s="48"/>
      <c r="P2" s="677" t="s">
        <v>70</v>
      </c>
      <c r="Q2" s="677"/>
      <c r="R2" s="677"/>
      <c r="S2" s="677"/>
      <c r="T2" s="48"/>
    </row>
    <row r="3" spans="1:22" ht="13.5" customHeight="1" thickBot="1" x14ac:dyDescent="0.25">
      <c r="A3" s="678" t="s">
        <v>160</v>
      </c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80"/>
      <c r="O3" s="48"/>
      <c r="P3" s="677"/>
      <c r="Q3" s="677"/>
      <c r="R3" s="677"/>
      <c r="S3" s="677"/>
      <c r="T3" s="48"/>
      <c r="U3" s="463" t="s">
        <v>348</v>
      </c>
      <c r="V3" s="1">
        <f>SUM(K15:K19)+K27+(K49+K50+K51+K85+K86)/2</f>
        <v>3790.95</v>
      </c>
    </row>
    <row r="4" spans="1:22" x14ac:dyDescent="0.2">
      <c r="A4" s="197" t="s">
        <v>161</v>
      </c>
      <c r="B4" s="198">
        <v>1.5</v>
      </c>
      <c r="C4" s="198">
        <v>1.8</v>
      </c>
      <c r="D4" s="198">
        <v>1</v>
      </c>
      <c r="E4" s="163">
        <v>0</v>
      </c>
      <c r="F4" s="245">
        <f>100-B4-C4-D4-E4</f>
        <v>95.7</v>
      </c>
      <c r="G4" s="273"/>
      <c r="H4" s="271">
        <f>$G4*B4*100/100</f>
        <v>0</v>
      </c>
      <c r="I4" s="170">
        <f>$G4*C4*100/100</f>
        <v>0</v>
      </c>
      <c r="J4" s="170">
        <f>$G4*D4*100/100</f>
        <v>0</v>
      </c>
      <c r="K4" s="200">
        <f t="shared" ref="K4:K12" si="0">H4*16.7+I4*37.6+J4*16.7</f>
        <v>0</v>
      </c>
      <c r="L4" s="170">
        <f>$G4*E4*100/100</f>
        <v>0</v>
      </c>
      <c r="M4" s="170">
        <f>$G4*F4*100/100</f>
        <v>0</v>
      </c>
      <c r="O4" s="48"/>
      <c r="P4" s="48" t="s">
        <v>69</v>
      </c>
      <c r="Q4" s="52">
        <f>K84</f>
        <v>11504.668999999998</v>
      </c>
      <c r="R4" s="48" t="s">
        <v>5</v>
      </c>
      <c r="S4" s="48"/>
      <c r="T4" s="48"/>
      <c r="U4" s="50" t="s">
        <v>347</v>
      </c>
      <c r="V4" s="2">
        <f>K21</f>
        <v>0</v>
      </c>
    </row>
    <row r="5" spans="1:22" x14ac:dyDescent="0.2">
      <c r="A5" s="201" t="s">
        <v>162</v>
      </c>
      <c r="B5" s="163">
        <v>0</v>
      </c>
      <c r="C5" s="163">
        <v>0.2</v>
      </c>
      <c r="D5" s="163">
        <v>0</v>
      </c>
      <c r="E5" s="163">
        <v>0</v>
      </c>
      <c r="F5" s="245">
        <f t="shared" ref="F5:F46" si="1">100-B5-C5-D5-E5</f>
        <v>99.8</v>
      </c>
      <c r="G5" s="130"/>
      <c r="H5" s="269">
        <f t="shared" ref="H5:J8" si="2">$G5*B5*150/100</f>
        <v>0</v>
      </c>
      <c r="I5" s="173">
        <f t="shared" si="2"/>
        <v>0</v>
      </c>
      <c r="J5" s="173">
        <f t="shared" si="2"/>
        <v>0</v>
      </c>
      <c r="K5" s="168">
        <f t="shared" si="0"/>
        <v>0</v>
      </c>
      <c r="L5" s="170">
        <f t="shared" ref="L5:L12" si="3">$G5*E5*100/100</f>
        <v>0</v>
      </c>
      <c r="M5" s="173">
        <f>$G5*F5*100/100</f>
        <v>0</v>
      </c>
      <c r="O5" s="48"/>
      <c r="P5" s="48" t="s">
        <v>56</v>
      </c>
      <c r="Q5" s="48"/>
      <c r="R5" s="48"/>
      <c r="S5" s="48"/>
      <c r="T5" s="48"/>
      <c r="U5" s="50" t="s">
        <v>38</v>
      </c>
      <c r="V5" s="2">
        <f>SUM(K29:K46)+K10+K11+K12+K61/2</f>
        <v>3036.7350000000001</v>
      </c>
    </row>
    <row r="6" spans="1:22" x14ac:dyDescent="0.2">
      <c r="A6" s="201" t="s">
        <v>108</v>
      </c>
      <c r="B6" s="163">
        <v>11</v>
      </c>
      <c r="C6" s="163">
        <v>0</v>
      </c>
      <c r="D6" s="163">
        <v>0</v>
      </c>
      <c r="E6" s="163">
        <v>0</v>
      </c>
      <c r="F6" s="245">
        <f t="shared" si="1"/>
        <v>89</v>
      </c>
      <c r="G6" s="130"/>
      <c r="H6" s="269">
        <f t="shared" si="2"/>
        <v>0</v>
      </c>
      <c r="I6" s="173">
        <f t="shared" si="2"/>
        <v>0</v>
      </c>
      <c r="J6" s="173">
        <f t="shared" si="2"/>
        <v>0</v>
      </c>
      <c r="K6" s="168">
        <f t="shared" si="0"/>
        <v>0</v>
      </c>
      <c r="L6" s="170">
        <f t="shared" si="3"/>
        <v>0</v>
      </c>
      <c r="M6" s="173">
        <f>$G6*F6*330/100</f>
        <v>0</v>
      </c>
      <c r="O6" s="48"/>
      <c r="P6" s="48"/>
      <c r="Q6" s="48"/>
      <c r="R6" s="48"/>
      <c r="S6" s="48"/>
      <c r="T6" s="48"/>
      <c r="U6" s="50" t="s">
        <v>68</v>
      </c>
      <c r="V6" s="1">
        <f>(K85+K86)/2</f>
        <v>0</v>
      </c>
    </row>
    <row r="7" spans="1:22" x14ac:dyDescent="0.2">
      <c r="A7" s="201" t="s">
        <v>163</v>
      </c>
      <c r="B7" s="202">
        <v>0</v>
      </c>
      <c r="C7" s="202">
        <v>0</v>
      </c>
      <c r="D7" s="202">
        <v>0</v>
      </c>
      <c r="E7" s="163">
        <v>0</v>
      </c>
      <c r="F7" s="245">
        <f t="shared" si="1"/>
        <v>100</v>
      </c>
      <c r="G7" s="250"/>
      <c r="H7" s="269">
        <f t="shared" si="2"/>
        <v>0</v>
      </c>
      <c r="I7" s="173">
        <f t="shared" si="2"/>
        <v>0</v>
      </c>
      <c r="J7" s="173">
        <f t="shared" si="2"/>
        <v>0</v>
      </c>
      <c r="K7" s="168">
        <f t="shared" si="0"/>
        <v>0</v>
      </c>
      <c r="L7" s="170">
        <f t="shared" si="3"/>
        <v>0</v>
      </c>
      <c r="M7" s="173">
        <f>$G7*F7*150/100</f>
        <v>0</v>
      </c>
      <c r="O7" s="48"/>
      <c r="P7" s="645"/>
      <c r="Q7" s="645"/>
      <c r="R7" s="645"/>
      <c r="S7" s="645"/>
      <c r="T7" s="48"/>
      <c r="U7" s="50" t="s">
        <v>39</v>
      </c>
      <c r="V7" s="2">
        <f>K5+SUM(K64:K83)</f>
        <v>0</v>
      </c>
    </row>
    <row r="8" spans="1:22" x14ac:dyDescent="0.2">
      <c r="A8" s="201" t="s">
        <v>164</v>
      </c>
      <c r="B8" s="202">
        <v>0</v>
      </c>
      <c r="C8" s="202">
        <v>0</v>
      </c>
      <c r="D8" s="202">
        <v>0</v>
      </c>
      <c r="E8" s="163">
        <v>0</v>
      </c>
      <c r="F8" s="245">
        <f t="shared" si="1"/>
        <v>100</v>
      </c>
      <c r="G8" s="250">
        <v>5</v>
      </c>
      <c r="H8" s="269">
        <f t="shared" si="2"/>
        <v>0</v>
      </c>
      <c r="I8" s="173">
        <f t="shared" si="2"/>
        <v>0</v>
      </c>
      <c r="J8" s="173">
        <f t="shared" si="2"/>
        <v>0</v>
      </c>
      <c r="K8" s="168">
        <f t="shared" si="0"/>
        <v>0</v>
      </c>
      <c r="L8" s="170">
        <f t="shared" si="3"/>
        <v>0</v>
      </c>
      <c r="M8" s="173">
        <f>$G8*F8*150/100</f>
        <v>750</v>
      </c>
      <c r="O8" s="48"/>
      <c r="P8" s="645"/>
      <c r="Q8" s="645"/>
      <c r="R8" s="645"/>
      <c r="S8" s="645"/>
      <c r="T8" s="48"/>
      <c r="U8" s="50" t="s">
        <v>362</v>
      </c>
      <c r="V8" s="2">
        <f>K64+(K49+K50+K51+K52+K53+K54+K55+K56+K57+K58+K59+K60)/2</f>
        <v>1725.2249999999999</v>
      </c>
    </row>
    <row r="9" spans="1:22" x14ac:dyDescent="0.2">
      <c r="A9" s="201" t="s">
        <v>364</v>
      </c>
      <c r="B9" s="202">
        <v>9</v>
      </c>
      <c r="C9" s="202">
        <v>0</v>
      </c>
      <c r="D9" s="202">
        <v>0.7</v>
      </c>
      <c r="E9" s="163">
        <v>0</v>
      </c>
      <c r="F9" s="245">
        <f t="shared" si="1"/>
        <v>90.3</v>
      </c>
      <c r="G9" s="250"/>
      <c r="H9" s="269">
        <f t="shared" ref="H9:J10" si="4">$G9*B9*200/100</f>
        <v>0</v>
      </c>
      <c r="I9" s="173">
        <f t="shared" si="4"/>
        <v>0</v>
      </c>
      <c r="J9" s="173">
        <f t="shared" si="4"/>
        <v>0</v>
      </c>
      <c r="K9" s="168">
        <f t="shared" si="0"/>
        <v>0</v>
      </c>
      <c r="L9" s="170">
        <f t="shared" si="3"/>
        <v>0</v>
      </c>
      <c r="M9" s="173">
        <f>$G9*F9*200/100</f>
        <v>0</v>
      </c>
      <c r="O9" s="48"/>
      <c r="P9" s="645"/>
      <c r="Q9" s="645"/>
      <c r="R9" s="645"/>
      <c r="S9" s="645"/>
      <c r="T9" s="48"/>
      <c r="U9" s="50" t="s">
        <v>359</v>
      </c>
      <c r="V9" s="2">
        <f>K62+(K11+K12+K29+K49+K50+K51+K52+K53+K54+K55+K56+K57+K58+K59+K60+K61)/2</f>
        <v>3431.4675000000002</v>
      </c>
    </row>
    <row r="10" spans="1:22" x14ac:dyDescent="0.2">
      <c r="A10" s="161" t="s">
        <v>110</v>
      </c>
      <c r="B10" s="204">
        <v>10</v>
      </c>
      <c r="C10" s="204">
        <v>0.5</v>
      </c>
      <c r="D10" s="204">
        <v>0.5</v>
      </c>
      <c r="E10" s="163">
        <v>0</v>
      </c>
      <c r="F10" s="245">
        <f t="shared" si="1"/>
        <v>89</v>
      </c>
      <c r="G10" s="250"/>
      <c r="H10" s="269">
        <f t="shared" si="4"/>
        <v>0</v>
      </c>
      <c r="I10" s="173">
        <f t="shared" si="4"/>
        <v>0</v>
      </c>
      <c r="J10" s="173">
        <f t="shared" si="4"/>
        <v>0</v>
      </c>
      <c r="K10" s="168">
        <f t="shared" si="0"/>
        <v>0</v>
      </c>
      <c r="L10" s="170">
        <f t="shared" si="3"/>
        <v>0</v>
      </c>
      <c r="M10" s="173">
        <f>$G10*F10*200/100</f>
        <v>0</v>
      </c>
      <c r="O10" s="48"/>
      <c r="P10" s="645"/>
      <c r="Q10" s="645"/>
      <c r="R10" s="645"/>
      <c r="S10" s="645"/>
      <c r="T10" s="48"/>
    </row>
    <row r="11" spans="1:22" x14ac:dyDescent="0.2">
      <c r="A11" s="161" t="s">
        <v>686</v>
      </c>
      <c r="B11" s="202">
        <v>39</v>
      </c>
      <c r="C11" s="204">
        <v>0.5</v>
      </c>
      <c r="D11" s="204">
        <v>0.5</v>
      </c>
      <c r="E11" s="163">
        <v>0</v>
      </c>
      <c r="F11" s="245">
        <f t="shared" si="1"/>
        <v>60</v>
      </c>
      <c r="G11" s="250">
        <v>3</v>
      </c>
      <c r="H11" s="269">
        <f>$G11*B11*130/100</f>
        <v>152.1</v>
      </c>
      <c r="I11" s="173">
        <f>$G11*C11*130/100</f>
        <v>1.95</v>
      </c>
      <c r="J11" s="173">
        <f>$G11*D11*130/100</f>
        <v>1.95</v>
      </c>
      <c r="K11" s="168">
        <f t="shared" si="0"/>
        <v>2645.9549999999999</v>
      </c>
      <c r="L11" s="170">
        <f t="shared" si="3"/>
        <v>0</v>
      </c>
      <c r="M11" s="173">
        <f>$G11*F11*180/100</f>
        <v>324</v>
      </c>
      <c r="O11" s="48"/>
      <c r="P11" s="645"/>
      <c r="Q11" s="645"/>
      <c r="R11" s="645"/>
      <c r="S11" s="645"/>
      <c r="T11" s="48"/>
    </row>
    <row r="12" spans="1:22" ht="13.5" thickBot="1" x14ac:dyDescent="0.25">
      <c r="A12" s="232" t="s">
        <v>166</v>
      </c>
      <c r="B12" s="229">
        <v>0.1</v>
      </c>
      <c r="C12" s="229">
        <v>0</v>
      </c>
      <c r="D12" s="229">
        <v>0.1</v>
      </c>
      <c r="E12" s="163">
        <v>0</v>
      </c>
      <c r="F12" s="245">
        <f t="shared" si="1"/>
        <v>99.800000000000011</v>
      </c>
      <c r="G12" s="381">
        <v>3</v>
      </c>
      <c r="H12" s="270">
        <f>$G12*B12*150/100</f>
        <v>0.45000000000000007</v>
      </c>
      <c r="I12" s="176">
        <f>$G12*C12*150/100</f>
        <v>0</v>
      </c>
      <c r="J12" s="176">
        <f>$G12*D12*150/100</f>
        <v>0.45000000000000007</v>
      </c>
      <c r="K12" s="230">
        <f t="shared" si="0"/>
        <v>15.030000000000001</v>
      </c>
      <c r="L12" s="170">
        <f t="shared" si="3"/>
        <v>0</v>
      </c>
      <c r="M12" s="176">
        <f>$G12*F12*150/100</f>
        <v>449.10000000000008</v>
      </c>
      <c r="O12" s="48"/>
      <c r="P12" s="645"/>
      <c r="Q12" s="645"/>
      <c r="R12" s="645"/>
      <c r="S12" s="645"/>
      <c r="T12" s="48"/>
    </row>
    <row r="13" spans="1:22" ht="13.5" thickBot="1" x14ac:dyDescent="0.25">
      <c r="A13" s="424" t="s">
        <v>340</v>
      </c>
      <c r="B13" s="425"/>
      <c r="C13" s="425"/>
      <c r="D13" s="425"/>
      <c r="E13" s="426"/>
      <c r="F13" s="425"/>
      <c r="G13" s="427"/>
      <c r="H13" s="425"/>
      <c r="I13" s="425"/>
      <c r="J13" s="425"/>
      <c r="K13" s="425"/>
      <c r="L13" s="425"/>
      <c r="M13" s="434"/>
      <c r="O13" s="48"/>
      <c r="P13" s="645"/>
      <c r="Q13" s="645"/>
      <c r="R13" s="645"/>
      <c r="S13" s="645"/>
      <c r="T13" s="48"/>
    </row>
    <row r="14" spans="1:22" x14ac:dyDescent="0.2">
      <c r="A14" s="224" t="s">
        <v>318</v>
      </c>
      <c r="B14" s="198">
        <v>50.5</v>
      </c>
      <c r="C14" s="198">
        <v>1</v>
      </c>
      <c r="D14" s="198">
        <v>7</v>
      </c>
      <c r="E14" s="199"/>
      <c r="F14" s="245">
        <f t="shared" si="1"/>
        <v>41.5</v>
      </c>
      <c r="G14" s="273"/>
      <c r="H14" s="247">
        <f>$G14*B14*30/100</f>
        <v>0</v>
      </c>
      <c r="I14" s="198">
        <f>$G14*C14*30/100</f>
        <v>0</v>
      </c>
      <c r="J14" s="198">
        <f>$G14*D14*30/100</f>
        <v>0</v>
      </c>
      <c r="K14" s="200">
        <f t="shared" ref="K14:K26" si="5">H14*16.7+I14*37.6+J14*16.7</f>
        <v>0</v>
      </c>
      <c r="L14" s="170">
        <f>$G14*E14*30/100</f>
        <v>0</v>
      </c>
      <c r="M14" s="170">
        <f>$G14*F14*30/100</f>
        <v>0</v>
      </c>
      <c r="O14" s="48"/>
      <c r="P14" s="645"/>
      <c r="Q14" s="645"/>
      <c r="R14" s="645"/>
      <c r="S14" s="645"/>
      <c r="T14" s="48"/>
    </row>
    <row r="15" spans="1:22" x14ac:dyDescent="0.2">
      <c r="A15" s="161" t="s">
        <v>694</v>
      </c>
      <c r="B15" s="204">
        <v>76.900000000000006</v>
      </c>
      <c r="C15" s="204">
        <v>14</v>
      </c>
      <c r="D15" s="204">
        <v>2.6</v>
      </c>
      <c r="E15" s="203">
        <v>1</v>
      </c>
      <c r="F15" s="245">
        <f t="shared" si="1"/>
        <v>5.4999999999999947</v>
      </c>
      <c r="G15" s="250"/>
      <c r="H15" s="248">
        <f>$G15*B15*35/100</f>
        <v>0</v>
      </c>
      <c r="I15" s="202">
        <f>$G15*C15*35/100</f>
        <v>0</v>
      </c>
      <c r="J15" s="202">
        <f>$G15*D35*15/100</f>
        <v>0</v>
      </c>
      <c r="K15" s="168">
        <f t="shared" si="5"/>
        <v>0</v>
      </c>
      <c r="L15" s="170">
        <f t="shared" ref="L15" si="6">$G15*E15*30/100</f>
        <v>0</v>
      </c>
      <c r="M15" s="173">
        <f>$G15*F15*15/100</f>
        <v>0</v>
      </c>
      <c r="O15" s="48"/>
      <c r="P15" s="645"/>
      <c r="Q15" s="645"/>
      <c r="R15" s="645"/>
      <c r="S15" s="645"/>
      <c r="T15" s="48"/>
    </row>
    <row r="16" spans="1:22" x14ac:dyDescent="0.2">
      <c r="A16" s="161" t="s">
        <v>177</v>
      </c>
      <c r="B16" s="202">
        <v>49</v>
      </c>
      <c r="C16" s="202">
        <v>1</v>
      </c>
      <c r="D16" s="202">
        <v>8</v>
      </c>
      <c r="E16" s="203"/>
      <c r="F16" s="245">
        <f t="shared" si="1"/>
        <v>42</v>
      </c>
      <c r="G16" s="250"/>
      <c r="H16" s="248">
        <f>$G16*B16*20/100</f>
        <v>0</v>
      </c>
      <c r="I16" s="202">
        <f>$G16*C16*20/100</f>
        <v>0</v>
      </c>
      <c r="J16" s="202">
        <f>$G16*D16*20/100</f>
        <v>0</v>
      </c>
      <c r="K16" s="168">
        <f t="shared" si="5"/>
        <v>0</v>
      </c>
      <c r="L16" s="170">
        <f t="shared" ref="L16:L26" si="7">$G16*E16*30/100</f>
        <v>0</v>
      </c>
      <c r="M16" s="173">
        <f>$G16*F16*20/100</f>
        <v>0</v>
      </c>
      <c r="O16" s="48"/>
      <c r="P16" s="645"/>
      <c r="Q16" s="645"/>
      <c r="R16" s="645"/>
      <c r="S16" s="645"/>
      <c r="T16" s="48"/>
    </row>
    <row r="17" spans="1:20" ht="13.5" customHeight="1" x14ac:dyDescent="0.2">
      <c r="A17" s="161" t="s">
        <v>190</v>
      </c>
      <c r="B17" s="202">
        <v>40.700000000000003</v>
      </c>
      <c r="C17" s="202">
        <v>11.8</v>
      </c>
      <c r="D17" s="202">
        <v>8.4</v>
      </c>
      <c r="E17" s="203">
        <v>4.9000000000000004</v>
      </c>
      <c r="F17" s="245">
        <f t="shared" si="1"/>
        <v>34.200000000000003</v>
      </c>
      <c r="G17" s="250">
        <v>3</v>
      </c>
      <c r="H17" s="248">
        <f>$G17*B17*100/100</f>
        <v>122.1</v>
      </c>
      <c r="I17" s="202">
        <f>$G17*C17*100/100</f>
        <v>35.400000000000006</v>
      </c>
      <c r="J17" s="202">
        <f>$G17*D17*100/100</f>
        <v>25.200000000000003</v>
      </c>
      <c r="K17" s="168">
        <f t="shared" si="5"/>
        <v>3790.95</v>
      </c>
      <c r="L17" s="170">
        <f t="shared" si="7"/>
        <v>4.41</v>
      </c>
      <c r="M17" s="173">
        <f>$G17*F17*20/100</f>
        <v>20.52</v>
      </c>
      <c r="O17" s="48"/>
      <c r="P17" s="645"/>
      <c r="Q17" s="645"/>
      <c r="R17" s="645"/>
      <c r="S17" s="645"/>
      <c r="T17" s="48"/>
    </row>
    <row r="18" spans="1:20" s="49" customFormat="1" x14ac:dyDescent="0.2">
      <c r="A18" s="161" t="s">
        <v>683</v>
      </c>
      <c r="B18" s="202">
        <v>36</v>
      </c>
      <c r="C18" s="202">
        <v>8</v>
      </c>
      <c r="D18" s="202">
        <v>9.5</v>
      </c>
      <c r="E18" s="203">
        <v>1</v>
      </c>
      <c r="F18" s="245">
        <f t="shared" ref="F18" si="8">100-B18-C18-D18</f>
        <v>46.5</v>
      </c>
      <c r="G18" s="250"/>
      <c r="H18" s="248">
        <f>$G18*B18*250/100</f>
        <v>0</v>
      </c>
      <c r="I18" s="202">
        <f>$G18*C18*250/100</f>
        <v>0</v>
      </c>
      <c r="J18" s="202">
        <f>$G18*D18*250/100</f>
        <v>0</v>
      </c>
      <c r="K18" s="168">
        <f t="shared" si="5"/>
        <v>0</v>
      </c>
      <c r="L18" s="170">
        <f t="shared" ref="L18" si="9">$G18*E18*100/100</f>
        <v>0</v>
      </c>
      <c r="M18" s="173">
        <f>$G18*F18*250/100</f>
        <v>0</v>
      </c>
      <c r="N18" s="47"/>
      <c r="O18" s="48"/>
      <c r="P18" s="645"/>
      <c r="Q18" s="645"/>
      <c r="R18" s="645"/>
      <c r="S18" s="645"/>
      <c r="T18" s="48"/>
    </row>
    <row r="19" spans="1:20" ht="13.5" customHeight="1" x14ac:dyDescent="0.2">
      <c r="A19" s="391" t="s">
        <v>121</v>
      </c>
      <c r="B19" s="395">
        <v>60.7</v>
      </c>
      <c r="C19" s="395">
        <v>20.399999999999999</v>
      </c>
      <c r="D19" s="395">
        <v>8.1</v>
      </c>
      <c r="E19" s="395">
        <v>7.1</v>
      </c>
      <c r="F19" s="245">
        <f t="shared" si="1"/>
        <v>3.6999999999999993</v>
      </c>
      <c r="G19" s="250"/>
      <c r="H19" s="397">
        <f>$G19*B19*40/100</f>
        <v>0</v>
      </c>
      <c r="I19" s="397">
        <f>$G19*C19*40/100</f>
        <v>0</v>
      </c>
      <c r="J19" s="397">
        <f>$G19*D19*40/100</f>
        <v>0</v>
      </c>
      <c r="K19" s="394">
        <f t="shared" si="5"/>
        <v>0</v>
      </c>
      <c r="L19" s="170">
        <f t="shared" si="7"/>
        <v>0</v>
      </c>
      <c r="M19" s="395">
        <f>$G19*F19*40/100</f>
        <v>0</v>
      </c>
      <c r="O19" s="48"/>
      <c r="P19" s="54" t="s">
        <v>660</v>
      </c>
      <c r="Q19" s="52">
        <f>M84</f>
        <v>1649.16</v>
      </c>
      <c r="R19" s="48" t="s">
        <v>74</v>
      </c>
      <c r="S19" s="48"/>
      <c r="T19" s="48"/>
    </row>
    <row r="20" spans="1:20" s="67" customFormat="1" ht="13.5" customHeight="1" thickBot="1" x14ac:dyDescent="0.25">
      <c r="A20" s="161" t="s">
        <v>204</v>
      </c>
      <c r="B20" s="204">
        <v>7</v>
      </c>
      <c r="C20" s="204">
        <v>53</v>
      </c>
      <c r="D20" s="204">
        <v>24</v>
      </c>
      <c r="E20" s="203">
        <v>6.9</v>
      </c>
      <c r="F20" s="245">
        <f t="shared" si="1"/>
        <v>9.1</v>
      </c>
      <c r="G20" s="250"/>
      <c r="H20" s="248">
        <f t="shared" ref="H20:J22" si="10">$G20*B20*30/100</f>
        <v>0</v>
      </c>
      <c r="I20" s="202">
        <f t="shared" si="10"/>
        <v>0</v>
      </c>
      <c r="J20" s="202">
        <f t="shared" si="10"/>
        <v>0</v>
      </c>
      <c r="K20" s="168">
        <f t="shared" si="5"/>
        <v>0</v>
      </c>
      <c r="L20" s="170">
        <f t="shared" si="7"/>
        <v>0</v>
      </c>
      <c r="M20" s="173">
        <f>$G20*F20*15/100</f>
        <v>0</v>
      </c>
      <c r="N20" s="66"/>
      <c r="O20" s="48"/>
      <c r="P20" s="54" t="s">
        <v>659</v>
      </c>
      <c r="Q20" s="55">
        <f>Q19/1000</f>
        <v>1.6491600000000002</v>
      </c>
      <c r="R20" s="48" t="s">
        <v>75</v>
      </c>
      <c r="S20" s="48"/>
      <c r="T20" s="48"/>
    </row>
    <row r="21" spans="1:20" ht="13.5" customHeight="1" thickBot="1" x14ac:dyDescent="0.25">
      <c r="A21" s="161" t="s">
        <v>205</v>
      </c>
      <c r="B21" s="204">
        <v>3.9</v>
      </c>
      <c r="C21" s="204">
        <v>63.7</v>
      </c>
      <c r="D21" s="204">
        <v>15.8</v>
      </c>
      <c r="E21" s="203">
        <v>6.2</v>
      </c>
      <c r="F21" s="245">
        <f t="shared" si="1"/>
        <v>10.399999999999991</v>
      </c>
      <c r="G21" s="250"/>
      <c r="H21" s="248">
        <f t="shared" si="10"/>
        <v>0</v>
      </c>
      <c r="I21" s="202">
        <f t="shared" si="10"/>
        <v>0</v>
      </c>
      <c r="J21" s="202">
        <f t="shared" si="10"/>
        <v>0</v>
      </c>
      <c r="K21" s="168">
        <f t="shared" si="5"/>
        <v>0</v>
      </c>
      <c r="L21" s="170">
        <f t="shared" si="7"/>
        <v>0</v>
      </c>
      <c r="M21" s="173">
        <f>$G21*F21*40/100</f>
        <v>0</v>
      </c>
      <c r="O21" s="48"/>
      <c r="P21" s="672" t="s">
        <v>80</v>
      </c>
      <c r="Q21" s="672"/>
      <c r="R21" s="672"/>
      <c r="S21" s="672"/>
      <c r="T21" s="48"/>
    </row>
    <row r="22" spans="1:20" ht="13.5" customHeight="1" thickBot="1" x14ac:dyDescent="0.25">
      <c r="A22" s="161" t="s">
        <v>206</v>
      </c>
      <c r="B22" s="204">
        <v>8.1999999999999993</v>
      </c>
      <c r="C22" s="204">
        <v>55.4</v>
      </c>
      <c r="D22" s="204">
        <v>17.899999999999999</v>
      </c>
      <c r="E22" s="203">
        <v>6.1</v>
      </c>
      <c r="F22" s="245">
        <f t="shared" si="1"/>
        <v>12.4</v>
      </c>
      <c r="G22" s="250"/>
      <c r="H22" s="248">
        <f t="shared" si="10"/>
        <v>0</v>
      </c>
      <c r="I22" s="202">
        <f t="shared" si="10"/>
        <v>0</v>
      </c>
      <c r="J22" s="202">
        <f t="shared" si="10"/>
        <v>0</v>
      </c>
      <c r="K22" s="168">
        <f t="shared" si="5"/>
        <v>0</v>
      </c>
      <c r="L22" s="170">
        <f t="shared" si="7"/>
        <v>0</v>
      </c>
      <c r="M22" s="173">
        <f>$G22*F22*30/100</f>
        <v>0</v>
      </c>
      <c r="O22" s="48"/>
      <c r="P22" s="672"/>
      <c r="Q22" s="672"/>
      <c r="R22" s="672"/>
      <c r="S22" s="672"/>
      <c r="T22" s="48"/>
    </row>
    <row r="23" spans="1:20" ht="13.5" thickBot="1" x14ac:dyDescent="0.25">
      <c r="A23" s="201" t="s">
        <v>181</v>
      </c>
      <c r="B23" s="204">
        <v>75</v>
      </c>
      <c r="C23" s="204">
        <v>0.6</v>
      </c>
      <c r="D23" s="204">
        <v>2.2000000000000002</v>
      </c>
      <c r="E23" s="203">
        <v>1.6</v>
      </c>
      <c r="F23" s="245">
        <f t="shared" si="1"/>
        <v>20.599999999999998</v>
      </c>
      <c r="G23" s="250"/>
      <c r="H23" s="248">
        <f>$G23*B23*15/100</f>
        <v>0</v>
      </c>
      <c r="I23" s="202">
        <f>$G23*C23*15/100</f>
        <v>0</v>
      </c>
      <c r="J23" s="202">
        <f>$G23*D23*15/100</f>
        <v>0</v>
      </c>
      <c r="K23" s="168">
        <f t="shared" si="5"/>
        <v>0</v>
      </c>
      <c r="L23" s="170">
        <f t="shared" si="7"/>
        <v>0</v>
      </c>
      <c r="M23" s="173">
        <f>$G23*F23*15/100</f>
        <v>0</v>
      </c>
      <c r="O23" s="56"/>
      <c r="P23" s="672"/>
      <c r="Q23" s="672"/>
      <c r="R23" s="672"/>
      <c r="S23" s="672"/>
      <c r="T23" s="56"/>
    </row>
    <row r="24" spans="1:20" x14ac:dyDescent="0.2">
      <c r="A24" s="201" t="s">
        <v>687</v>
      </c>
      <c r="B24" s="225">
        <v>65</v>
      </c>
      <c r="C24" s="225">
        <v>8.6</v>
      </c>
      <c r="D24" s="225">
        <v>43</v>
      </c>
      <c r="E24" s="203">
        <v>4</v>
      </c>
      <c r="F24" s="245">
        <f>150-B24-C24-D24-E24</f>
        <v>29.400000000000006</v>
      </c>
      <c r="G24" s="250">
        <v>1</v>
      </c>
      <c r="H24" s="248">
        <f t="shared" ref="H24:J24" si="11">$G24*B24*40/100</f>
        <v>26</v>
      </c>
      <c r="I24" s="202">
        <f t="shared" si="11"/>
        <v>3.44</v>
      </c>
      <c r="J24" s="202">
        <f t="shared" si="11"/>
        <v>17.2</v>
      </c>
      <c r="K24" s="168">
        <f t="shared" si="5"/>
        <v>850.78399999999988</v>
      </c>
      <c r="L24" s="170">
        <f t="shared" si="7"/>
        <v>1.2</v>
      </c>
      <c r="M24" s="173">
        <f>$G24*F24*40/100</f>
        <v>11.760000000000002</v>
      </c>
      <c r="O24" s="48"/>
      <c r="P24" s="48"/>
      <c r="Q24" s="459" t="s">
        <v>341</v>
      </c>
      <c r="R24" s="458" t="s">
        <v>342</v>
      </c>
      <c r="S24" s="48"/>
      <c r="T24" s="48"/>
    </row>
    <row r="25" spans="1:20" x14ac:dyDescent="0.2">
      <c r="A25" s="201" t="s">
        <v>119</v>
      </c>
      <c r="B25" s="225">
        <v>65</v>
      </c>
      <c r="C25" s="225">
        <v>0.5</v>
      </c>
      <c r="D25" s="225">
        <v>5</v>
      </c>
      <c r="E25" s="203">
        <v>2</v>
      </c>
      <c r="F25" s="245">
        <f t="shared" si="1"/>
        <v>27.5</v>
      </c>
      <c r="G25" s="250"/>
      <c r="H25" s="248">
        <f t="shared" ref="H25:J25" si="12">$G25*B25*40/100</f>
        <v>0</v>
      </c>
      <c r="I25" s="202">
        <f t="shared" si="12"/>
        <v>0</v>
      </c>
      <c r="J25" s="202">
        <f t="shared" si="12"/>
        <v>0</v>
      </c>
      <c r="K25" s="168">
        <f t="shared" si="5"/>
        <v>0</v>
      </c>
      <c r="L25" s="170">
        <f t="shared" si="7"/>
        <v>0</v>
      </c>
      <c r="M25" s="173">
        <f>$G25*F25*40/100</f>
        <v>0</v>
      </c>
      <c r="O25" s="48"/>
      <c r="P25" s="460" t="s">
        <v>59</v>
      </c>
      <c r="Q25" s="52">
        <f>colazione!K54</f>
        <v>40764.184000000001</v>
      </c>
      <c r="R25" s="55">
        <f>Q25*0.239006</f>
        <v>9742.8845611039997</v>
      </c>
      <c r="S25" s="48"/>
      <c r="T25" s="48"/>
    </row>
    <row r="26" spans="1:20" ht="13.5" thickBot="1" x14ac:dyDescent="0.25">
      <c r="A26" s="226" t="s">
        <v>339</v>
      </c>
      <c r="B26" s="227">
        <v>36.299999999999997</v>
      </c>
      <c r="C26" s="227">
        <v>17.2</v>
      </c>
      <c r="D26" s="227">
        <v>4.4000000000000004</v>
      </c>
      <c r="E26" s="228"/>
      <c r="F26" s="245">
        <f t="shared" si="1"/>
        <v>42.1</v>
      </c>
      <c r="G26" s="251"/>
      <c r="H26" s="254">
        <f>$G26*B26*250/100</f>
        <v>0</v>
      </c>
      <c r="I26" s="229">
        <f>$G26*C26*250/100</f>
        <v>0</v>
      </c>
      <c r="J26" s="229">
        <f>$G26*D26*250/100</f>
        <v>0</v>
      </c>
      <c r="K26" s="230">
        <f t="shared" si="5"/>
        <v>0</v>
      </c>
      <c r="L26" s="170">
        <f t="shared" si="7"/>
        <v>0</v>
      </c>
      <c r="M26" s="176">
        <f>$G26*F26*250/100</f>
        <v>0</v>
      </c>
      <c r="O26" s="48"/>
      <c r="P26" s="460" t="s">
        <v>60</v>
      </c>
      <c r="Q26" s="52">
        <f>pranzo!K177</f>
        <v>21126.135000000002</v>
      </c>
      <c r="R26" s="55">
        <f t="shared" ref="R26:R29" si="13">Q26*0.239006</f>
        <v>5049.2730218100005</v>
      </c>
      <c r="S26" s="48"/>
      <c r="T26" s="48"/>
    </row>
    <row r="27" spans="1:20" ht="13.5" thickBot="1" x14ac:dyDescent="0.25">
      <c r="A27" s="435" t="s">
        <v>327</v>
      </c>
      <c r="B27" s="436"/>
      <c r="C27" s="436"/>
      <c r="D27" s="436"/>
      <c r="E27" s="426"/>
      <c r="F27" s="436"/>
      <c r="G27" s="427"/>
      <c r="H27" s="436"/>
      <c r="I27" s="436"/>
      <c r="J27" s="436"/>
      <c r="K27" s="436"/>
      <c r="L27" s="436"/>
      <c r="M27" s="428"/>
      <c r="O27" s="48"/>
      <c r="P27" s="460" t="s">
        <v>61</v>
      </c>
      <c r="Q27" s="52">
        <f>merenda!K90</f>
        <v>20970.407999999999</v>
      </c>
      <c r="R27" s="55">
        <f t="shared" si="13"/>
        <v>5012.053334448</v>
      </c>
      <c r="S27" s="48"/>
      <c r="T27" s="48"/>
    </row>
    <row r="28" spans="1:20" x14ac:dyDescent="0.2">
      <c r="A28" s="404" t="s">
        <v>329</v>
      </c>
      <c r="B28" s="405">
        <v>25</v>
      </c>
      <c r="C28" s="405">
        <v>0.1</v>
      </c>
      <c r="D28" s="405">
        <v>0.5</v>
      </c>
      <c r="E28" s="406"/>
      <c r="F28" s="406">
        <f t="shared" si="1"/>
        <v>74.400000000000006</v>
      </c>
      <c r="G28" s="273"/>
      <c r="H28" s="406">
        <f>$G28*B28*150/100</f>
        <v>0</v>
      </c>
      <c r="I28" s="406">
        <f>$G28*C28*150/100</f>
        <v>0</v>
      </c>
      <c r="J28" s="406">
        <f>$G28*D28*150/100</f>
        <v>0</v>
      </c>
      <c r="K28" s="407">
        <f t="shared" ref="K28:K46" si="14">H28*16.7+I28*37.6+J28*16.7</f>
        <v>0</v>
      </c>
      <c r="L28" s="408">
        <f>$G28*E28*150/100</f>
        <v>0</v>
      </c>
      <c r="M28" s="408">
        <f>$G28*F28*150/100</f>
        <v>0</v>
      </c>
      <c r="O28" s="48"/>
      <c r="P28" s="460" t="s">
        <v>62</v>
      </c>
      <c r="Q28" s="52">
        <f>K84</f>
        <v>11504.668999999998</v>
      </c>
      <c r="R28" s="55">
        <f t="shared" si="13"/>
        <v>2749.6849190139997</v>
      </c>
      <c r="S28" s="48"/>
      <c r="T28" s="48"/>
    </row>
    <row r="29" spans="1:20" x14ac:dyDescent="0.2">
      <c r="A29" s="391" t="s">
        <v>188</v>
      </c>
      <c r="B29" s="392">
        <v>21.5</v>
      </c>
      <c r="C29" s="392">
        <v>0.2</v>
      </c>
      <c r="D29" s="392">
        <v>0.5</v>
      </c>
      <c r="E29" s="393"/>
      <c r="F29" s="406">
        <f t="shared" si="1"/>
        <v>77.8</v>
      </c>
      <c r="G29" s="250"/>
      <c r="H29" s="393">
        <f>$G29*B29*120/100</f>
        <v>0</v>
      </c>
      <c r="I29" s="393">
        <f>$G29*C29*120/100</f>
        <v>0</v>
      </c>
      <c r="J29" s="393">
        <f>$G29*D29*120/100</f>
        <v>0</v>
      </c>
      <c r="K29" s="394">
        <f t="shared" si="14"/>
        <v>0</v>
      </c>
      <c r="L29" s="408">
        <f t="shared" ref="L29:L46" si="15">$G29*E29*150/100</f>
        <v>0</v>
      </c>
      <c r="M29" s="395">
        <f>$G29*F29*120/100</f>
        <v>0</v>
      </c>
      <c r="O29" s="48"/>
      <c r="P29" s="460" t="s">
        <v>63</v>
      </c>
      <c r="Q29" s="52">
        <f>cena!K177</f>
        <v>32347.438599999998</v>
      </c>
      <c r="R29" s="55">
        <f t="shared" si="13"/>
        <v>7731.231910031599</v>
      </c>
      <c r="S29" s="48"/>
      <c r="T29" s="48"/>
    </row>
    <row r="30" spans="1:20" x14ac:dyDescent="0.2">
      <c r="A30" s="391" t="s">
        <v>330</v>
      </c>
      <c r="B30" s="393">
        <v>11.2</v>
      </c>
      <c r="C30" s="393">
        <v>0.2</v>
      </c>
      <c r="D30" s="393">
        <v>0.8</v>
      </c>
      <c r="E30" s="393"/>
      <c r="F30" s="406">
        <f t="shared" si="1"/>
        <v>87.8</v>
      </c>
      <c r="G30" s="250"/>
      <c r="H30" s="393">
        <f>$G30*B30*60/100</f>
        <v>0</v>
      </c>
      <c r="I30" s="393">
        <f>$G30*C30*60/100</f>
        <v>0</v>
      </c>
      <c r="J30" s="393">
        <f>$G30*D30*60/100</f>
        <v>0</v>
      </c>
      <c r="K30" s="394">
        <f t="shared" si="14"/>
        <v>0</v>
      </c>
      <c r="L30" s="408">
        <f t="shared" si="15"/>
        <v>0</v>
      </c>
      <c r="M30" s="395">
        <f>$G30*F30*60/100</f>
        <v>0</v>
      </c>
      <c r="O30" s="48"/>
      <c r="P30" s="49"/>
      <c r="Q30" s="49"/>
      <c r="R30" s="49"/>
      <c r="S30" s="49"/>
      <c r="T30" s="48"/>
    </row>
    <row r="31" spans="1:20" x14ac:dyDescent="0.2">
      <c r="A31" s="391" t="s">
        <v>331</v>
      </c>
      <c r="B31" s="392">
        <v>11.9</v>
      </c>
      <c r="C31" s="392">
        <v>0.2</v>
      </c>
      <c r="D31" s="392">
        <v>0.4</v>
      </c>
      <c r="E31" s="393"/>
      <c r="F31" s="406">
        <f t="shared" si="1"/>
        <v>87.499999999999986</v>
      </c>
      <c r="G31" s="250"/>
      <c r="H31" s="393">
        <f>$G31*B31*120/100</f>
        <v>0</v>
      </c>
      <c r="I31" s="393">
        <f>$G31*C31*120/100</f>
        <v>0</v>
      </c>
      <c r="J31" s="393">
        <f>$G31*D31*120/100</f>
        <v>0</v>
      </c>
      <c r="K31" s="394">
        <f t="shared" si="14"/>
        <v>0</v>
      </c>
      <c r="L31" s="408">
        <f t="shared" si="15"/>
        <v>0</v>
      </c>
      <c r="M31" s="395">
        <f>$G31*F31*120/100</f>
        <v>0</v>
      </c>
      <c r="O31" s="48"/>
      <c r="P31" s="49"/>
      <c r="Q31" s="49"/>
      <c r="R31" s="49"/>
      <c r="S31" s="49"/>
      <c r="T31" s="48"/>
    </row>
    <row r="32" spans="1:20" x14ac:dyDescent="0.2">
      <c r="A32" s="398" t="s">
        <v>332</v>
      </c>
      <c r="B32" s="395">
        <v>20</v>
      </c>
      <c r="C32" s="395">
        <v>0.5</v>
      </c>
      <c r="D32" s="395">
        <v>1.4</v>
      </c>
      <c r="E32" s="395"/>
      <c r="F32" s="406">
        <f t="shared" si="1"/>
        <v>78.099999999999994</v>
      </c>
      <c r="G32" s="250"/>
      <c r="H32" s="397">
        <f t="shared" ref="H32:J33" si="16">$G32*B32*150/100</f>
        <v>0</v>
      </c>
      <c r="I32" s="397">
        <f t="shared" si="16"/>
        <v>0</v>
      </c>
      <c r="J32" s="397">
        <f t="shared" si="16"/>
        <v>0</v>
      </c>
      <c r="K32" s="394">
        <f t="shared" si="14"/>
        <v>0</v>
      </c>
      <c r="L32" s="408">
        <f t="shared" si="15"/>
        <v>0</v>
      </c>
      <c r="M32" s="395">
        <f>$G32*F32*150/100</f>
        <v>0</v>
      </c>
      <c r="O32" s="48"/>
      <c r="P32" s="49"/>
      <c r="Q32" s="49"/>
      <c r="R32" s="49"/>
      <c r="S32" s="49"/>
      <c r="T32" s="48"/>
    </row>
    <row r="33" spans="1:20" x14ac:dyDescent="0.2">
      <c r="A33" s="391" t="s">
        <v>321</v>
      </c>
      <c r="B33" s="392">
        <v>15</v>
      </c>
      <c r="C33" s="392">
        <v>0.4</v>
      </c>
      <c r="D33" s="392">
        <v>1.1000000000000001</v>
      </c>
      <c r="E33" s="393"/>
      <c r="F33" s="406">
        <f t="shared" si="1"/>
        <v>83.5</v>
      </c>
      <c r="G33" s="250"/>
      <c r="H33" s="393">
        <f t="shared" si="16"/>
        <v>0</v>
      </c>
      <c r="I33" s="393">
        <f t="shared" si="16"/>
        <v>0</v>
      </c>
      <c r="J33" s="393">
        <f t="shared" si="16"/>
        <v>0</v>
      </c>
      <c r="K33" s="394">
        <f t="shared" si="14"/>
        <v>0</v>
      </c>
      <c r="L33" s="408">
        <f t="shared" si="15"/>
        <v>0</v>
      </c>
      <c r="M33" s="395">
        <f>$G33*F33*150/100</f>
        <v>0</v>
      </c>
      <c r="O33" s="48"/>
      <c r="P33" s="49"/>
      <c r="Q33" s="49"/>
      <c r="R33" s="49"/>
      <c r="S33" s="49"/>
      <c r="T33" s="48"/>
    </row>
    <row r="34" spans="1:20" x14ac:dyDescent="0.2">
      <c r="A34" s="391" t="s">
        <v>250</v>
      </c>
      <c r="B34" s="392">
        <v>9.4</v>
      </c>
      <c r="C34" s="392">
        <v>0.2</v>
      </c>
      <c r="D34" s="392">
        <v>0.5</v>
      </c>
      <c r="E34" s="393"/>
      <c r="F34" s="406">
        <f t="shared" si="1"/>
        <v>89.899999999999991</v>
      </c>
      <c r="G34" s="250"/>
      <c r="H34" s="393">
        <f>$G34*B34*70/100</f>
        <v>0</v>
      </c>
      <c r="I34" s="393">
        <f>$G34*C34*70/100</f>
        <v>0</v>
      </c>
      <c r="J34" s="393">
        <f>$G34*D34*70/100</f>
        <v>0</v>
      </c>
      <c r="K34" s="394">
        <f t="shared" si="14"/>
        <v>0</v>
      </c>
      <c r="L34" s="408">
        <f t="shared" si="15"/>
        <v>0</v>
      </c>
      <c r="M34" s="395">
        <f>$G34*F34*70/100</f>
        <v>0</v>
      </c>
      <c r="O34" s="48"/>
      <c r="P34" s="49"/>
      <c r="Q34" s="49"/>
      <c r="R34" s="49"/>
      <c r="S34" s="49"/>
      <c r="T34" s="48"/>
    </row>
    <row r="35" spans="1:20" x14ac:dyDescent="0.2">
      <c r="A35" s="398" t="s">
        <v>251</v>
      </c>
      <c r="B35" s="392">
        <v>19.2</v>
      </c>
      <c r="C35" s="392">
        <v>0.4</v>
      </c>
      <c r="D35" s="392">
        <v>0.8</v>
      </c>
      <c r="E35" s="393"/>
      <c r="F35" s="406">
        <f t="shared" si="1"/>
        <v>79.599999999999994</v>
      </c>
      <c r="G35" s="250"/>
      <c r="H35" s="393">
        <f>$G35*B35*40/100</f>
        <v>0</v>
      </c>
      <c r="I35" s="393">
        <f>$G35*C35*200/40</f>
        <v>0</v>
      </c>
      <c r="J35" s="393">
        <f>$G35*D35*200/40</f>
        <v>0</v>
      </c>
      <c r="K35" s="394">
        <f t="shared" si="14"/>
        <v>0</v>
      </c>
      <c r="L35" s="408">
        <f t="shared" si="15"/>
        <v>0</v>
      </c>
      <c r="M35" s="395">
        <f>$G35*F35*200/40</f>
        <v>0</v>
      </c>
      <c r="O35" s="48"/>
      <c r="P35" s="49"/>
      <c r="Q35" s="49"/>
      <c r="R35" s="49"/>
      <c r="S35" s="49"/>
      <c r="T35" s="48"/>
    </row>
    <row r="36" spans="1:20" x14ac:dyDescent="0.2">
      <c r="A36" s="396" t="s">
        <v>125</v>
      </c>
      <c r="B36" s="395">
        <v>7.5</v>
      </c>
      <c r="C36" s="395">
        <v>0.6</v>
      </c>
      <c r="D36" s="395">
        <v>0.7</v>
      </c>
      <c r="E36" s="395"/>
      <c r="F36" s="406">
        <f t="shared" si="1"/>
        <v>91.2</v>
      </c>
      <c r="G36" s="250"/>
      <c r="H36" s="397">
        <f>$G36*B36*120/100</f>
        <v>0</v>
      </c>
      <c r="I36" s="397">
        <f>$G36*C36*120/100</f>
        <v>0</v>
      </c>
      <c r="J36" s="397">
        <f>$G36*D36*120/100</f>
        <v>0</v>
      </c>
      <c r="K36" s="394">
        <f t="shared" si="14"/>
        <v>0</v>
      </c>
      <c r="L36" s="408">
        <f t="shared" si="15"/>
        <v>0</v>
      </c>
      <c r="M36" s="395">
        <f>$G36*F36*120/100</f>
        <v>0</v>
      </c>
      <c r="O36" s="48"/>
      <c r="P36" s="49"/>
      <c r="Q36" s="49"/>
      <c r="R36" s="49"/>
      <c r="S36" s="49"/>
      <c r="T36" s="48"/>
    </row>
    <row r="37" spans="1:20" x14ac:dyDescent="0.2">
      <c r="A37" s="398" t="s">
        <v>13</v>
      </c>
      <c r="B37" s="392">
        <v>11</v>
      </c>
      <c r="C37" s="392">
        <v>0.3</v>
      </c>
      <c r="D37" s="392">
        <v>0.7</v>
      </c>
      <c r="E37" s="393"/>
      <c r="F37" s="406">
        <f t="shared" si="1"/>
        <v>88</v>
      </c>
      <c r="G37" s="250"/>
      <c r="H37" s="393">
        <f>$G37*B37*70/100</f>
        <v>0</v>
      </c>
      <c r="I37" s="393">
        <f>$G37*C37*70/100</f>
        <v>0</v>
      </c>
      <c r="J37" s="393">
        <f>$G37*D37*70/100</f>
        <v>0</v>
      </c>
      <c r="K37" s="394">
        <f t="shared" si="14"/>
        <v>0</v>
      </c>
      <c r="L37" s="408">
        <f t="shared" si="15"/>
        <v>0</v>
      </c>
      <c r="M37" s="395">
        <f>$G37*F37*70/100</f>
        <v>0</v>
      </c>
      <c r="O37" s="48"/>
      <c r="P37" s="49"/>
      <c r="Q37" s="49"/>
      <c r="R37" s="49"/>
      <c r="S37" s="49"/>
      <c r="T37" s="48"/>
    </row>
    <row r="38" spans="1:20" x14ac:dyDescent="0.2">
      <c r="A38" s="398" t="s">
        <v>333</v>
      </c>
      <c r="B38" s="392">
        <v>15.5</v>
      </c>
      <c r="C38" s="392">
        <v>0.5</v>
      </c>
      <c r="D38" s="392">
        <v>1</v>
      </c>
      <c r="E38" s="393"/>
      <c r="F38" s="406">
        <f t="shared" si="1"/>
        <v>83</v>
      </c>
      <c r="G38" s="250"/>
      <c r="H38" s="393">
        <f>$G38*B38*100/100</f>
        <v>0</v>
      </c>
      <c r="I38" s="393">
        <f>$G38*C38*100/100</f>
        <v>0</v>
      </c>
      <c r="J38" s="393">
        <f>$G38*D38*100/100</f>
        <v>0</v>
      </c>
      <c r="K38" s="394">
        <f t="shared" si="14"/>
        <v>0</v>
      </c>
      <c r="L38" s="408">
        <f t="shared" si="15"/>
        <v>0</v>
      </c>
      <c r="M38" s="395">
        <f>$G38*F38*100/100</f>
        <v>0</v>
      </c>
      <c r="O38" s="48"/>
      <c r="P38" s="49"/>
      <c r="Q38" s="49"/>
      <c r="R38" s="49"/>
      <c r="S38" s="49"/>
      <c r="T38" s="48"/>
    </row>
    <row r="39" spans="1:20" x14ac:dyDescent="0.2">
      <c r="A39" s="398" t="s">
        <v>334</v>
      </c>
      <c r="B39" s="392">
        <v>13</v>
      </c>
      <c r="C39" s="392">
        <v>0.4</v>
      </c>
      <c r="D39" s="392">
        <v>1</v>
      </c>
      <c r="E39" s="393"/>
      <c r="F39" s="406">
        <f t="shared" si="1"/>
        <v>85.6</v>
      </c>
      <c r="G39" s="250"/>
      <c r="H39" s="393">
        <f>$G39*B39*200/100</f>
        <v>0</v>
      </c>
      <c r="I39" s="393">
        <f>$G39*C39*200/100</f>
        <v>0</v>
      </c>
      <c r="J39" s="393">
        <f>$G39*D39*200/100</f>
        <v>0</v>
      </c>
      <c r="K39" s="394">
        <f t="shared" si="14"/>
        <v>0</v>
      </c>
      <c r="L39" s="408">
        <f t="shared" si="15"/>
        <v>0</v>
      </c>
      <c r="M39" s="395">
        <f>$G39*F39*200/100</f>
        <v>0</v>
      </c>
      <c r="O39" s="48"/>
      <c r="P39" s="49"/>
      <c r="Q39" s="49"/>
      <c r="R39" s="49"/>
      <c r="S39" s="49"/>
      <c r="T39" s="48"/>
    </row>
    <row r="40" spans="1:20" x14ac:dyDescent="0.2">
      <c r="A40" s="396" t="s">
        <v>335</v>
      </c>
      <c r="B40" s="395">
        <v>9</v>
      </c>
      <c r="C40" s="395">
        <v>0.2</v>
      </c>
      <c r="D40" s="395">
        <v>0.7</v>
      </c>
      <c r="E40" s="395"/>
      <c r="F40" s="406">
        <f t="shared" si="1"/>
        <v>90.1</v>
      </c>
      <c r="G40" s="250"/>
      <c r="H40" s="397">
        <f>$G40*B40*170/100</f>
        <v>0</v>
      </c>
      <c r="I40" s="397">
        <f>$G40*C40*170/100</f>
        <v>0</v>
      </c>
      <c r="J40" s="397">
        <f>$G40*D40*170/100</f>
        <v>0</v>
      </c>
      <c r="K40" s="394">
        <f t="shared" si="14"/>
        <v>0</v>
      </c>
      <c r="L40" s="408">
        <f t="shared" si="15"/>
        <v>0</v>
      </c>
      <c r="M40" s="395">
        <f>$G40*F40*170/100</f>
        <v>0</v>
      </c>
      <c r="O40" s="48"/>
      <c r="P40" s="49"/>
      <c r="Q40" s="49"/>
      <c r="R40" s="49"/>
      <c r="S40" s="49"/>
      <c r="T40" s="48"/>
    </row>
    <row r="41" spans="1:20" x14ac:dyDescent="0.2">
      <c r="A41" s="398" t="s">
        <v>289</v>
      </c>
      <c r="B41" s="392">
        <v>9</v>
      </c>
      <c r="C41" s="392">
        <v>0.2</v>
      </c>
      <c r="D41" s="392">
        <v>0.6</v>
      </c>
      <c r="E41" s="393"/>
      <c r="F41" s="406">
        <f t="shared" si="1"/>
        <v>90.2</v>
      </c>
      <c r="G41" s="250"/>
      <c r="H41" s="393">
        <f>$G41*B41*140/100</f>
        <v>0</v>
      </c>
      <c r="I41" s="393">
        <f>$G41*C41*140/100</f>
        <v>0</v>
      </c>
      <c r="J41" s="393">
        <f>$G41*D41*140/100</f>
        <v>0</v>
      </c>
      <c r="K41" s="394">
        <f t="shared" si="14"/>
        <v>0</v>
      </c>
      <c r="L41" s="408">
        <f t="shared" si="15"/>
        <v>0</v>
      </c>
      <c r="M41" s="395">
        <f>$G41*F41*140/100</f>
        <v>0</v>
      </c>
      <c r="O41" s="48"/>
      <c r="P41" s="48"/>
      <c r="Q41" s="48"/>
      <c r="R41" s="48"/>
      <c r="S41" s="48"/>
      <c r="T41" s="48"/>
    </row>
    <row r="42" spans="1:20" x14ac:dyDescent="0.2">
      <c r="A42" s="396" t="s">
        <v>290</v>
      </c>
      <c r="B42" s="395">
        <v>11</v>
      </c>
      <c r="C42" s="395">
        <v>0</v>
      </c>
      <c r="D42" s="395">
        <v>0.5</v>
      </c>
      <c r="E42" s="395"/>
      <c r="F42" s="406">
        <f t="shared" si="1"/>
        <v>88.5</v>
      </c>
      <c r="G42" s="250"/>
      <c r="H42" s="397">
        <f>$G42*B42*150/100</f>
        <v>0</v>
      </c>
      <c r="I42" s="397">
        <f>$G42*C42*150/100</f>
        <v>0</v>
      </c>
      <c r="J42" s="397">
        <f>$G42*D42*150/100</f>
        <v>0</v>
      </c>
      <c r="K42" s="394">
        <f t="shared" si="14"/>
        <v>0</v>
      </c>
      <c r="L42" s="408">
        <f t="shared" si="15"/>
        <v>0</v>
      </c>
      <c r="M42" s="395">
        <f>$G42*F42*150/100</f>
        <v>0</v>
      </c>
    </row>
    <row r="43" spans="1:20" x14ac:dyDescent="0.2">
      <c r="A43" s="396" t="s">
        <v>291</v>
      </c>
      <c r="B43" s="395">
        <v>15.8</v>
      </c>
      <c r="C43" s="395">
        <v>0.48</v>
      </c>
      <c r="D43" s="395">
        <v>0.7</v>
      </c>
      <c r="E43" s="395"/>
      <c r="F43" s="406">
        <f t="shared" si="1"/>
        <v>83.02</v>
      </c>
      <c r="G43" s="250"/>
      <c r="H43" s="397">
        <f>$G43*B43*180/100</f>
        <v>0</v>
      </c>
      <c r="I43" s="397">
        <f>$G43*C43*180/100</f>
        <v>0</v>
      </c>
      <c r="J43" s="397">
        <f>$G43*D43*180/100</f>
        <v>0</v>
      </c>
      <c r="K43" s="394">
        <f t="shared" si="14"/>
        <v>0</v>
      </c>
      <c r="L43" s="408">
        <f t="shared" si="15"/>
        <v>0</v>
      </c>
      <c r="M43" s="395">
        <f>$G43*F43*180/100</f>
        <v>0</v>
      </c>
    </row>
    <row r="44" spans="1:20" x14ac:dyDescent="0.2">
      <c r="A44" s="396" t="s">
        <v>292</v>
      </c>
      <c r="B44" s="395">
        <v>12</v>
      </c>
      <c r="C44" s="395">
        <v>0.35</v>
      </c>
      <c r="D44" s="395">
        <v>0.3</v>
      </c>
      <c r="E44" s="395"/>
      <c r="F44" s="406">
        <f t="shared" si="1"/>
        <v>87.350000000000009</v>
      </c>
      <c r="G44" s="250"/>
      <c r="H44" s="397">
        <f>$G44*B44*160/100</f>
        <v>0</v>
      </c>
      <c r="I44" s="397">
        <f>$G44*C44*160/100</f>
        <v>0</v>
      </c>
      <c r="J44" s="397">
        <f>$G44*D44*160/100</f>
        <v>0</v>
      </c>
      <c r="K44" s="394">
        <f t="shared" si="14"/>
        <v>0</v>
      </c>
      <c r="L44" s="408">
        <f t="shared" si="15"/>
        <v>0</v>
      </c>
      <c r="M44" s="395">
        <f>$G44*F44*160/100</f>
        <v>0</v>
      </c>
    </row>
    <row r="45" spans="1:20" x14ac:dyDescent="0.2">
      <c r="A45" s="399" t="s">
        <v>293</v>
      </c>
      <c r="B45" s="400">
        <v>16</v>
      </c>
      <c r="C45" s="400">
        <v>0.7</v>
      </c>
      <c r="D45" s="400">
        <v>0.9</v>
      </c>
      <c r="E45" s="401"/>
      <c r="F45" s="406">
        <f t="shared" si="1"/>
        <v>82.399999999999991</v>
      </c>
      <c r="G45" s="250"/>
      <c r="H45" s="401">
        <f>$G45*B45*80/100</f>
        <v>0</v>
      </c>
      <c r="I45" s="401">
        <f>$G45*C45*80/100</f>
        <v>0</v>
      </c>
      <c r="J45" s="401">
        <f>$G45*D45*80/100</f>
        <v>0</v>
      </c>
      <c r="K45" s="402">
        <f t="shared" si="14"/>
        <v>0</v>
      </c>
      <c r="L45" s="408">
        <f t="shared" si="15"/>
        <v>0</v>
      </c>
      <c r="M45" s="403">
        <f>$G45*F45*80/100</f>
        <v>0</v>
      </c>
    </row>
    <row r="46" spans="1:20" ht="13.5" thickBot="1" x14ac:dyDescent="0.25">
      <c r="A46" s="161" t="s">
        <v>336</v>
      </c>
      <c r="B46" s="225">
        <v>8.5</v>
      </c>
      <c r="C46" s="225">
        <v>0.2</v>
      </c>
      <c r="D46" s="225">
        <v>1.1000000000000001</v>
      </c>
      <c r="E46" s="203">
        <v>2</v>
      </c>
      <c r="F46" s="406">
        <f t="shared" si="1"/>
        <v>88.2</v>
      </c>
      <c r="G46" s="250"/>
      <c r="H46" s="248">
        <f t="shared" ref="H46:J46" si="17">$G46*B46*110/100</f>
        <v>0</v>
      </c>
      <c r="I46" s="202">
        <f t="shared" si="17"/>
        <v>0</v>
      </c>
      <c r="J46" s="202">
        <f t="shared" si="17"/>
        <v>0</v>
      </c>
      <c r="K46" s="168">
        <f t="shared" si="14"/>
        <v>0</v>
      </c>
      <c r="L46" s="408">
        <f t="shared" si="15"/>
        <v>0</v>
      </c>
      <c r="M46" s="173">
        <f>$G46*F46*110/100</f>
        <v>0</v>
      </c>
    </row>
    <row r="47" spans="1:20" ht="13.5" thickBot="1" x14ac:dyDescent="0.25">
      <c r="A47" s="424" t="s">
        <v>328</v>
      </c>
      <c r="B47" s="425"/>
      <c r="C47" s="425"/>
      <c r="D47" s="425"/>
      <c r="E47" s="426"/>
      <c r="F47" s="425"/>
      <c r="G47" s="427"/>
      <c r="H47" s="425"/>
      <c r="I47" s="425"/>
      <c r="J47" s="425"/>
      <c r="K47" s="425"/>
      <c r="L47" s="425"/>
      <c r="M47" s="434"/>
    </row>
    <row r="48" spans="1:20" x14ac:dyDescent="0.2">
      <c r="A48" s="197" t="s">
        <v>253</v>
      </c>
      <c r="B48" s="198">
        <v>79.5</v>
      </c>
      <c r="C48" s="198">
        <v>15</v>
      </c>
      <c r="D48" s="198">
        <v>4.5</v>
      </c>
      <c r="E48" s="198">
        <v>0.8</v>
      </c>
      <c r="F48" s="245">
        <f>100-B48-C48-D48-E48</f>
        <v>0.19999999999999996</v>
      </c>
      <c r="G48" s="141"/>
      <c r="H48" s="253">
        <f>$G48*B48*160/100</f>
        <v>0</v>
      </c>
      <c r="I48" s="233">
        <f>$G48*C48*160/100</f>
        <v>0</v>
      </c>
      <c r="J48" s="233">
        <f>$G48*D48*160/100</f>
        <v>0</v>
      </c>
      <c r="K48" s="200">
        <f t="shared" ref="K48:K61" si="18">H48*16.7+I48*37.6+J48*16.7</f>
        <v>0</v>
      </c>
      <c r="L48" s="170">
        <f>$G48*E48*160/100</f>
        <v>0</v>
      </c>
      <c r="M48" s="170">
        <f>$G48*F48*160/100</f>
        <v>0</v>
      </c>
    </row>
    <row r="49" spans="1:20" ht="12" customHeight="1" x14ac:dyDescent="0.2">
      <c r="A49" s="161" t="s">
        <v>252</v>
      </c>
      <c r="B49" s="202">
        <v>77</v>
      </c>
      <c r="C49" s="202">
        <v>10</v>
      </c>
      <c r="D49" s="202">
        <v>5.6</v>
      </c>
      <c r="E49" s="202">
        <v>1</v>
      </c>
      <c r="F49" s="245">
        <f t="shared" ref="F49:F61" si="19">100-B49-C49-D49-E49</f>
        <v>6.4</v>
      </c>
      <c r="G49" s="131"/>
      <c r="H49" s="166">
        <f>$G49*B49*50/100</f>
        <v>0</v>
      </c>
      <c r="I49" s="167">
        <f>$G49*C49*50/100</f>
        <v>0</v>
      </c>
      <c r="J49" s="167">
        <f>$G49*D49*50/100</f>
        <v>0</v>
      </c>
      <c r="K49" s="168">
        <f t="shared" si="18"/>
        <v>0</v>
      </c>
      <c r="L49" s="170">
        <f t="shared" ref="L49:L61" si="20">$G49*E49*160/100</f>
        <v>0</v>
      </c>
      <c r="M49" s="173">
        <f>$G49*F49*15/100</f>
        <v>0</v>
      </c>
    </row>
    <row r="50" spans="1:20" ht="12" customHeight="1" x14ac:dyDescent="0.2">
      <c r="A50" s="201" t="s">
        <v>256</v>
      </c>
      <c r="B50" s="204">
        <v>34.200000000000003</v>
      </c>
      <c r="C50" s="204">
        <v>8.3000000000000007</v>
      </c>
      <c r="D50" s="204">
        <v>5.7</v>
      </c>
      <c r="E50" s="203">
        <v>1.5</v>
      </c>
      <c r="F50" s="245">
        <f t="shared" si="19"/>
        <v>50.3</v>
      </c>
      <c r="G50" s="250"/>
      <c r="H50" s="248">
        <f>$G50*B50*150/100</f>
        <v>0</v>
      </c>
      <c r="I50" s="202">
        <f>$G50*C50*150/100</f>
        <v>0</v>
      </c>
      <c r="J50" s="202">
        <f>$G50*D50*150/100</f>
        <v>0</v>
      </c>
      <c r="K50" s="168">
        <f t="shared" si="18"/>
        <v>0</v>
      </c>
      <c r="L50" s="170">
        <f t="shared" si="20"/>
        <v>0</v>
      </c>
      <c r="M50" s="173">
        <f>$G50*F50*150/100</f>
        <v>0</v>
      </c>
    </row>
    <row r="51" spans="1:20" x14ac:dyDescent="0.2">
      <c r="A51" s="201" t="s">
        <v>696</v>
      </c>
      <c r="B51" s="204">
        <v>23.2</v>
      </c>
      <c r="C51" s="204">
        <v>13.6</v>
      </c>
      <c r="D51" s="204">
        <v>6.2</v>
      </c>
      <c r="E51" s="203">
        <v>0.3</v>
      </c>
      <c r="F51" s="245">
        <f t="shared" si="19"/>
        <v>56.699999999999996</v>
      </c>
      <c r="G51" s="250"/>
      <c r="H51" s="248">
        <f>$G51*B51*200/100</f>
        <v>0</v>
      </c>
      <c r="I51" s="202">
        <f>$G51*C51*200/100</f>
        <v>0</v>
      </c>
      <c r="J51" s="202">
        <f>$G51*D51*200/100</f>
        <v>0</v>
      </c>
      <c r="K51" s="168">
        <f t="shared" si="18"/>
        <v>0</v>
      </c>
      <c r="L51" s="170">
        <f t="shared" si="20"/>
        <v>0</v>
      </c>
      <c r="M51" s="173">
        <f>$G51*F51*200/100</f>
        <v>0</v>
      </c>
    </row>
    <row r="52" spans="1:20" x14ac:dyDescent="0.2">
      <c r="A52" s="201" t="s">
        <v>255</v>
      </c>
      <c r="B52" s="204">
        <v>27</v>
      </c>
      <c r="C52" s="204">
        <v>11</v>
      </c>
      <c r="D52" s="204">
        <v>3.8</v>
      </c>
      <c r="E52" s="203">
        <v>0</v>
      </c>
      <c r="F52" s="245">
        <f t="shared" si="19"/>
        <v>58.2</v>
      </c>
      <c r="G52" s="250"/>
      <c r="H52" s="248">
        <f t="shared" ref="H52:J57" si="21">$G52*B52*150/100</f>
        <v>0</v>
      </c>
      <c r="I52" s="202">
        <f t="shared" si="21"/>
        <v>0</v>
      </c>
      <c r="J52" s="202">
        <f t="shared" si="21"/>
        <v>0</v>
      </c>
      <c r="K52" s="168">
        <f t="shared" si="18"/>
        <v>0</v>
      </c>
      <c r="L52" s="170">
        <f t="shared" si="20"/>
        <v>0</v>
      </c>
      <c r="M52" s="173">
        <f t="shared" ref="M52:M57" si="22">$G52*F52*150/100</f>
        <v>0</v>
      </c>
    </row>
    <row r="53" spans="1:20" x14ac:dyDescent="0.2">
      <c r="A53" s="201" t="s">
        <v>202</v>
      </c>
      <c r="B53" s="204">
        <v>20</v>
      </c>
      <c r="C53" s="204">
        <v>10</v>
      </c>
      <c r="D53" s="204">
        <v>4</v>
      </c>
      <c r="E53" s="203">
        <v>0</v>
      </c>
      <c r="F53" s="245">
        <f t="shared" si="19"/>
        <v>66</v>
      </c>
      <c r="G53" s="250"/>
      <c r="H53" s="248">
        <f t="shared" si="21"/>
        <v>0</v>
      </c>
      <c r="I53" s="202">
        <f t="shared" si="21"/>
        <v>0</v>
      </c>
      <c r="J53" s="202">
        <f t="shared" si="21"/>
        <v>0</v>
      </c>
      <c r="K53" s="168">
        <f t="shared" si="18"/>
        <v>0</v>
      </c>
      <c r="L53" s="170">
        <f t="shared" si="20"/>
        <v>0</v>
      </c>
      <c r="M53" s="173">
        <f t="shared" si="22"/>
        <v>0</v>
      </c>
    </row>
    <row r="54" spans="1:20" x14ac:dyDescent="0.2">
      <c r="A54" s="234" t="s">
        <v>258</v>
      </c>
      <c r="B54" s="204">
        <v>65</v>
      </c>
      <c r="C54" s="204">
        <v>9</v>
      </c>
      <c r="D54" s="204">
        <v>4.5999999999999996</v>
      </c>
      <c r="E54" s="203">
        <v>0</v>
      </c>
      <c r="F54" s="245">
        <f t="shared" si="19"/>
        <v>21.4</v>
      </c>
      <c r="G54" s="250"/>
      <c r="H54" s="248">
        <f t="shared" si="21"/>
        <v>0</v>
      </c>
      <c r="I54" s="202">
        <f t="shared" si="21"/>
        <v>0</v>
      </c>
      <c r="J54" s="202">
        <f t="shared" si="21"/>
        <v>0</v>
      </c>
      <c r="K54" s="168">
        <f t="shared" si="18"/>
        <v>0</v>
      </c>
      <c r="L54" s="170">
        <f t="shared" si="20"/>
        <v>0</v>
      </c>
      <c r="M54" s="173">
        <f t="shared" si="22"/>
        <v>0</v>
      </c>
    </row>
    <row r="55" spans="1:20" x14ac:dyDescent="0.2">
      <c r="A55" s="234" t="s">
        <v>195</v>
      </c>
      <c r="B55" s="204">
        <v>33</v>
      </c>
      <c r="C55" s="204">
        <v>14</v>
      </c>
      <c r="D55" s="204">
        <v>5</v>
      </c>
      <c r="E55" s="203">
        <v>1</v>
      </c>
      <c r="F55" s="245">
        <f t="shared" si="19"/>
        <v>47</v>
      </c>
      <c r="G55" s="250">
        <v>2</v>
      </c>
      <c r="H55" s="248">
        <f>$G55*B55*120/100</f>
        <v>79.2</v>
      </c>
      <c r="I55" s="202">
        <f>$G55*C55*120/100</f>
        <v>33.6</v>
      </c>
      <c r="J55" s="202">
        <f>$G55*D55*120/100</f>
        <v>12</v>
      </c>
      <c r="K55" s="168">
        <f t="shared" si="18"/>
        <v>2786.4</v>
      </c>
      <c r="L55" s="170">
        <f t="shared" ref="L55" si="23">$G55*E55*100/100</f>
        <v>2</v>
      </c>
      <c r="M55" s="173">
        <f>$G55*F55*120/100</f>
        <v>112.8</v>
      </c>
    </row>
    <row r="56" spans="1:20" x14ac:dyDescent="0.2">
      <c r="A56" s="201" t="s">
        <v>191</v>
      </c>
      <c r="B56" s="204">
        <v>12</v>
      </c>
      <c r="C56" s="204">
        <v>1</v>
      </c>
      <c r="D56" s="204">
        <v>2</v>
      </c>
      <c r="E56" s="203">
        <v>0.5</v>
      </c>
      <c r="F56" s="245">
        <f t="shared" si="19"/>
        <v>84.5</v>
      </c>
      <c r="G56" s="250"/>
      <c r="H56" s="248">
        <f t="shared" si="21"/>
        <v>0</v>
      </c>
      <c r="I56" s="202">
        <f t="shared" si="21"/>
        <v>0</v>
      </c>
      <c r="J56" s="202">
        <f t="shared" si="21"/>
        <v>0</v>
      </c>
      <c r="K56" s="168">
        <f t="shared" si="18"/>
        <v>0</v>
      </c>
      <c r="L56" s="170">
        <f t="shared" si="20"/>
        <v>0</v>
      </c>
      <c r="M56" s="173">
        <f t="shared" si="22"/>
        <v>0</v>
      </c>
    </row>
    <row r="57" spans="1:20" x14ac:dyDescent="0.2">
      <c r="A57" s="201" t="s">
        <v>314</v>
      </c>
      <c r="B57" s="204">
        <v>33.5</v>
      </c>
      <c r="C57" s="204">
        <v>25.8</v>
      </c>
      <c r="D57" s="204">
        <v>13.2</v>
      </c>
      <c r="E57" s="203">
        <v>0</v>
      </c>
      <c r="F57" s="245">
        <f t="shared" si="19"/>
        <v>27.500000000000004</v>
      </c>
      <c r="G57" s="250"/>
      <c r="H57" s="248">
        <f t="shared" si="21"/>
        <v>0</v>
      </c>
      <c r="I57" s="202">
        <f t="shared" si="21"/>
        <v>0</v>
      </c>
      <c r="J57" s="202">
        <f t="shared" si="21"/>
        <v>0</v>
      </c>
      <c r="K57" s="168">
        <f t="shared" si="18"/>
        <v>0</v>
      </c>
      <c r="L57" s="170">
        <f t="shared" si="20"/>
        <v>0</v>
      </c>
      <c r="M57" s="173">
        <f t="shared" si="22"/>
        <v>0</v>
      </c>
    </row>
    <row r="58" spans="1:20" x14ac:dyDescent="0.2">
      <c r="A58" s="161" t="s">
        <v>259</v>
      </c>
      <c r="B58" s="202">
        <v>63</v>
      </c>
      <c r="C58" s="202">
        <v>30</v>
      </c>
      <c r="D58" s="202">
        <v>2</v>
      </c>
      <c r="E58" s="203">
        <v>0</v>
      </c>
      <c r="F58" s="245">
        <f t="shared" si="19"/>
        <v>5</v>
      </c>
      <c r="G58" s="250">
        <v>3</v>
      </c>
      <c r="H58" s="248">
        <f t="shared" ref="H58:J59" si="24">$G58*B58*10/100</f>
        <v>18.899999999999999</v>
      </c>
      <c r="I58" s="202">
        <f t="shared" si="24"/>
        <v>9</v>
      </c>
      <c r="J58" s="202">
        <f t="shared" si="24"/>
        <v>0.6</v>
      </c>
      <c r="K58" s="168">
        <f t="shared" si="18"/>
        <v>664.05</v>
      </c>
      <c r="L58" s="170">
        <f t="shared" si="20"/>
        <v>0</v>
      </c>
      <c r="M58" s="173">
        <f>$G58*F58*10/100</f>
        <v>1.5</v>
      </c>
    </row>
    <row r="59" spans="1:20" x14ac:dyDescent="0.2">
      <c r="A59" s="161" t="s">
        <v>260</v>
      </c>
      <c r="B59" s="202">
        <v>55.7</v>
      </c>
      <c r="C59" s="202">
        <v>33.5</v>
      </c>
      <c r="D59" s="202">
        <v>6</v>
      </c>
      <c r="E59" s="203">
        <v>0</v>
      </c>
      <c r="F59" s="245">
        <f t="shared" si="19"/>
        <v>4.7999999999999972</v>
      </c>
      <c r="G59" s="250"/>
      <c r="H59" s="248">
        <f t="shared" si="24"/>
        <v>0</v>
      </c>
      <c r="I59" s="202">
        <f t="shared" si="24"/>
        <v>0</v>
      </c>
      <c r="J59" s="202">
        <f t="shared" si="24"/>
        <v>0</v>
      </c>
      <c r="K59" s="168">
        <f t="shared" si="18"/>
        <v>0</v>
      </c>
      <c r="L59" s="170">
        <f t="shared" si="20"/>
        <v>0</v>
      </c>
      <c r="M59" s="173">
        <f>$G59*F59*10/100</f>
        <v>0</v>
      </c>
    </row>
    <row r="60" spans="1:20" x14ac:dyDescent="0.2">
      <c r="A60" s="375" t="s">
        <v>114</v>
      </c>
      <c r="B60" s="595">
        <v>69</v>
      </c>
      <c r="C60" s="595">
        <v>0.1</v>
      </c>
      <c r="D60" s="595">
        <v>0.6</v>
      </c>
      <c r="E60" s="595">
        <v>2</v>
      </c>
      <c r="F60" s="245">
        <f t="shared" si="19"/>
        <v>28.299999999999997</v>
      </c>
      <c r="G60" s="141"/>
      <c r="H60" s="119">
        <f>$G60*B60*15/100</f>
        <v>0</v>
      </c>
      <c r="I60" s="120">
        <f>$G60*C60*15/100</f>
        <v>0</v>
      </c>
      <c r="J60" s="120">
        <f>$G60*D60*15/100</f>
        <v>0</v>
      </c>
      <c r="K60" s="121">
        <f>H60*16.7+I60*37.6+J60*16.7</f>
        <v>0</v>
      </c>
      <c r="L60" s="170">
        <f t="shared" si="20"/>
        <v>0</v>
      </c>
      <c r="M60" s="122">
        <f>$G60*F60*15/100</f>
        <v>0</v>
      </c>
    </row>
    <row r="61" spans="1:20" s="69" customFormat="1" ht="12" customHeight="1" thickBot="1" x14ac:dyDescent="0.25">
      <c r="A61" s="226" t="s">
        <v>261</v>
      </c>
      <c r="B61" s="229">
        <v>100</v>
      </c>
      <c r="C61" s="229">
        <v>0</v>
      </c>
      <c r="D61" s="229">
        <v>0</v>
      </c>
      <c r="E61" s="228">
        <v>0</v>
      </c>
      <c r="F61" s="245">
        <f t="shared" si="19"/>
        <v>0</v>
      </c>
      <c r="G61" s="251">
        <v>9</v>
      </c>
      <c r="H61" s="254">
        <f>$G61*B61*5/100</f>
        <v>45</v>
      </c>
      <c r="I61" s="229">
        <f>$G61*C61*5/100</f>
        <v>0</v>
      </c>
      <c r="J61" s="229">
        <f>$G61*D61*5/100</f>
        <v>0</v>
      </c>
      <c r="K61" s="230">
        <f t="shared" si="18"/>
        <v>751.5</v>
      </c>
      <c r="L61" s="170">
        <f t="shared" si="20"/>
        <v>0</v>
      </c>
      <c r="M61" s="176">
        <f>$G61*F61*5/100</f>
        <v>0</v>
      </c>
      <c r="N61" s="68"/>
      <c r="O61" s="43"/>
      <c r="P61" s="43"/>
      <c r="Q61" s="43"/>
      <c r="R61" s="43"/>
      <c r="S61" s="43"/>
      <c r="T61" s="43"/>
    </row>
    <row r="62" spans="1:20" s="69" customFormat="1" thickBot="1" x14ac:dyDescent="0.25">
      <c r="A62" s="424" t="s">
        <v>159</v>
      </c>
      <c r="B62" s="425"/>
      <c r="C62" s="425"/>
      <c r="D62" s="425"/>
      <c r="E62" s="426"/>
      <c r="F62" s="425"/>
      <c r="G62" s="427"/>
      <c r="H62" s="425"/>
      <c r="I62" s="425"/>
      <c r="J62" s="425"/>
      <c r="K62" s="425"/>
      <c r="L62" s="425"/>
      <c r="M62" s="428"/>
      <c r="N62" s="68"/>
      <c r="O62" s="43"/>
      <c r="P62" s="43"/>
      <c r="Q62" s="43"/>
      <c r="R62" s="43"/>
      <c r="S62" s="43"/>
      <c r="T62" s="43"/>
    </row>
    <row r="63" spans="1:20" x14ac:dyDescent="0.2">
      <c r="A63" s="224" t="s">
        <v>218</v>
      </c>
      <c r="B63" s="198">
        <v>0.5</v>
      </c>
      <c r="C63" s="198">
        <v>84</v>
      </c>
      <c r="D63" s="198">
        <v>0.5</v>
      </c>
      <c r="E63" s="199">
        <v>0</v>
      </c>
      <c r="F63" s="246">
        <f t="shared" ref="F63:F64" si="25">100-B63-C63-D63-E63</f>
        <v>15</v>
      </c>
      <c r="G63" s="273"/>
      <c r="H63" s="247">
        <f>$G63*B63*10/100</f>
        <v>0</v>
      </c>
      <c r="I63" s="198">
        <f>$G63*C63*10/100</f>
        <v>0</v>
      </c>
      <c r="J63" s="198">
        <f>$G63*D63*10/100</f>
        <v>0</v>
      </c>
      <c r="K63" s="200">
        <f t="shared" ref="K63:K79" si="26">H63*16.7+I63*37.6+J63*16.7</f>
        <v>0</v>
      </c>
      <c r="L63" s="170">
        <f>$G63*E63*10/100</f>
        <v>0</v>
      </c>
      <c r="M63" s="170">
        <f>$G63*F63*10/100</f>
        <v>0</v>
      </c>
    </row>
    <row r="64" spans="1:20" x14ac:dyDescent="0.2">
      <c r="A64" s="161" t="s">
        <v>263</v>
      </c>
      <c r="B64" s="202">
        <v>1.6</v>
      </c>
      <c r="C64" s="202">
        <v>21</v>
      </c>
      <c r="D64" s="202">
        <v>17</v>
      </c>
      <c r="E64" s="199">
        <v>0</v>
      </c>
      <c r="F64" s="246">
        <f t="shared" si="25"/>
        <v>60.400000000000006</v>
      </c>
      <c r="G64" s="250"/>
      <c r="H64" s="248">
        <f t="shared" ref="H64:J66" si="27">$G64*B64*40/100</f>
        <v>0</v>
      </c>
      <c r="I64" s="202">
        <f t="shared" si="27"/>
        <v>0</v>
      </c>
      <c r="J64" s="202">
        <f t="shared" si="27"/>
        <v>0</v>
      </c>
      <c r="K64" s="168">
        <f t="shared" si="26"/>
        <v>0</v>
      </c>
      <c r="L64" s="170">
        <f t="shared" ref="L64:L79" si="28">$G64*E64*10/100</f>
        <v>0</v>
      </c>
      <c r="M64" s="173">
        <f>$G64*F64*40/100</f>
        <v>0</v>
      </c>
    </row>
    <row r="65" spans="1:14" x14ac:dyDescent="0.2">
      <c r="A65" s="161" t="s">
        <v>264</v>
      </c>
      <c r="B65" s="202">
        <v>4</v>
      </c>
      <c r="C65" s="202">
        <v>24</v>
      </c>
      <c r="D65" s="202">
        <v>20</v>
      </c>
      <c r="E65" s="199">
        <v>0</v>
      </c>
      <c r="F65" s="246">
        <f>100-B65-C65-D65-E65</f>
        <v>52</v>
      </c>
      <c r="G65" s="250"/>
      <c r="H65" s="248">
        <f t="shared" si="27"/>
        <v>0</v>
      </c>
      <c r="I65" s="202">
        <f t="shared" si="27"/>
        <v>0</v>
      </c>
      <c r="J65" s="202">
        <f t="shared" si="27"/>
        <v>0</v>
      </c>
      <c r="K65" s="168">
        <f t="shared" si="26"/>
        <v>0</v>
      </c>
      <c r="L65" s="170">
        <f t="shared" si="28"/>
        <v>0</v>
      </c>
      <c r="M65" s="173">
        <f>$G65*F65*40/100</f>
        <v>0</v>
      </c>
    </row>
    <row r="66" spans="1:14" x14ac:dyDescent="0.2">
      <c r="A66" s="234" t="s">
        <v>265</v>
      </c>
      <c r="B66" s="204">
        <v>15</v>
      </c>
      <c r="C66" s="204">
        <v>15</v>
      </c>
      <c r="D66" s="204">
        <v>20</v>
      </c>
      <c r="E66" s="199">
        <v>0</v>
      </c>
      <c r="F66" s="246">
        <f t="shared" ref="F66:F79" si="29">100-B66-C66-D66-E66</f>
        <v>50</v>
      </c>
      <c r="G66" s="250"/>
      <c r="H66" s="248">
        <f t="shared" si="27"/>
        <v>0</v>
      </c>
      <c r="I66" s="202">
        <f t="shared" si="27"/>
        <v>0</v>
      </c>
      <c r="J66" s="202">
        <f t="shared" si="27"/>
        <v>0</v>
      </c>
      <c r="K66" s="168">
        <f t="shared" si="26"/>
        <v>0</v>
      </c>
      <c r="L66" s="170">
        <f t="shared" si="28"/>
        <v>0</v>
      </c>
      <c r="M66" s="173">
        <f>$G66*F66*40/100</f>
        <v>0</v>
      </c>
    </row>
    <row r="67" spans="1:14" x14ac:dyDescent="0.2">
      <c r="A67" s="201" t="s">
        <v>276</v>
      </c>
      <c r="B67" s="202">
        <v>4</v>
      </c>
      <c r="C67" s="202">
        <v>7</v>
      </c>
      <c r="D67" s="202">
        <v>15.5</v>
      </c>
      <c r="E67" s="199">
        <v>0</v>
      </c>
      <c r="F67" s="246">
        <f t="shared" si="29"/>
        <v>73.5</v>
      </c>
      <c r="G67" s="250"/>
      <c r="H67" s="248">
        <f>$G67*B67*20/100</f>
        <v>0</v>
      </c>
      <c r="I67" s="202">
        <f>$G67*C67*20/100</f>
        <v>0</v>
      </c>
      <c r="J67" s="202">
        <f>$G67*D67*20/100</f>
        <v>0</v>
      </c>
      <c r="K67" s="168">
        <f t="shared" si="26"/>
        <v>0</v>
      </c>
      <c r="L67" s="170">
        <f t="shared" si="28"/>
        <v>0</v>
      </c>
      <c r="M67" s="173">
        <f>$G67*F67*20/100</f>
        <v>0</v>
      </c>
    </row>
    <row r="68" spans="1:14" x14ac:dyDescent="0.2">
      <c r="A68" s="161" t="s">
        <v>262</v>
      </c>
      <c r="B68" s="202">
        <v>1.5</v>
      </c>
      <c r="C68" s="202">
        <v>29.7</v>
      </c>
      <c r="D68" s="202">
        <v>29.5</v>
      </c>
      <c r="E68" s="199">
        <v>0</v>
      </c>
      <c r="F68" s="246">
        <f t="shared" si="29"/>
        <v>39.299999999999997</v>
      </c>
      <c r="G68" s="250"/>
      <c r="H68" s="248">
        <f t="shared" ref="H68:J69" si="30">$G68*B68*40/100</f>
        <v>0</v>
      </c>
      <c r="I68" s="202">
        <f t="shared" si="30"/>
        <v>0</v>
      </c>
      <c r="J68" s="202">
        <f t="shared" si="30"/>
        <v>0</v>
      </c>
      <c r="K68" s="168">
        <f t="shared" si="26"/>
        <v>0</v>
      </c>
      <c r="L68" s="170">
        <f t="shared" si="28"/>
        <v>0</v>
      </c>
      <c r="M68" s="173">
        <f>$G68*F68*40/100</f>
        <v>0</v>
      </c>
    </row>
    <row r="69" spans="1:14" x14ac:dyDescent="0.2">
      <c r="A69" s="234" t="s">
        <v>274</v>
      </c>
      <c r="B69" s="204">
        <v>2</v>
      </c>
      <c r="C69" s="204">
        <v>25.6</v>
      </c>
      <c r="D69" s="204">
        <v>36</v>
      </c>
      <c r="E69" s="199">
        <v>0</v>
      </c>
      <c r="F69" s="246">
        <f t="shared" si="29"/>
        <v>36.400000000000006</v>
      </c>
      <c r="G69" s="250"/>
      <c r="H69" s="248">
        <f t="shared" si="30"/>
        <v>0</v>
      </c>
      <c r="I69" s="202">
        <f t="shared" si="30"/>
        <v>0</v>
      </c>
      <c r="J69" s="202">
        <f t="shared" si="30"/>
        <v>0</v>
      </c>
      <c r="K69" s="168">
        <f t="shared" si="26"/>
        <v>0</v>
      </c>
      <c r="L69" s="170">
        <f t="shared" si="28"/>
        <v>0</v>
      </c>
      <c r="M69" s="173">
        <f>$G69*F69*40/100</f>
        <v>0</v>
      </c>
    </row>
    <row r="70" spans="1:14" x14ac:dyDescent="0.2">
      <c r="A70" s="161" t="s">
        <v>266</v>
      </c>
      <c r="B70" s="202">
        <v>2.9</v>
      </c>
      <c r="C70" s="202">
        <v>12.6</v>
      </c>
      <c r="D70" s="202">
        <v>10.199999999999999</v>
      </c>
      <c r="E70" s="199">
        <v>0</v>
      </c>
      <c r="F70" s="246">
        <f t="shared" si="29"/>
        <v>74.3</v>
      </c>
      <c r="G70" s="250"/>
      <c r="H70" s="248">
        <f>$G70*B70*20/100</f>
        <v>0</v>
      </c>
      <c r="I70" s="202">
        <f>$G70*C70*20/100</f>
        <v>0</v>
      </c>
      <c r="J70" s="202">
        <f>$G70*D70*20/100</f>
        <v>0</v>
      </c>
      <c r="K70" s="168">
        <f t="shared" si="26"/>
        <v>0</v>
      </c>
      <c r="L70" s="170">
        <f t="shared" si="28"/>
        <v>0</v>
      </c>
      <c r="M70" s="173">
        <f>$G70*F70*20/100</f>
        <v>0</v>
      </c>
    </row>
    <row r="71" spans="1:14" x14ac:dyDescent="0.2">
      <c r="A71" s="234" t="s">
        <v>275</v>
      </c>
      <c r="B71" s="204">
        <v>4.9000000000000004</v>
      </c>
      <c r="C71" s="204">
        <v>16.100000000000001</v>
      </c>
      <c r="D71" s="204">
        <v>19.899999999999999</v>
      </c>
      <c r="E71" s="199">
        <v>0</v>
      </c>
      <c r="F71" s="246">
        <f t="shared" si="29"/>
        <v>59.1</v>
      </c>
      <c r="G71" s="250"/>
      <c r="H71" s="248">
        <f>$G71*B71*40/100</f>
        <v>0</v>
      </c>
      <c r="I71" s="202">
        <f>$G71*C71*40/100</f>
        <v>0</v>
      </c>
      <c r="J71" s="202">
        <f>$G71*D71*40/100</f>
        <v>0</v>
      </c>
      <c r="K71" s="168">
        <f t="shared" si="26"/>
        <v>0</v>
      </c>
      <c r="L71" s="170">
        <f t="shared" si="28"/>
        <v>0</v>
      </c>
      <c r="M71" s="173">
        <f>$G71*F71*40/100</f>
        <v>0</v>
      </c>
    </row>
    <row r="72" spans="1:14" x14ac:dyDescent="0.2">
      <c r="A72" s="234" t="s">
        <v>269</v>
      </c>
      <c r="B72" s="204">
        <v>2</v>
      </c>
      <c r="C72" s="204">
        <v>30.5</v>
      </c>
      <c r="D72" s="204">
        <v>21.5</v>
      </c>
      <c r="E72" s="199">
        <v>0</v>
      </c>
      <c r="F72" s="246">
        <f t="shared" si="29"/>
        <v>46</v>
      </c>
      <c r="G72" s="250"/>
      <c r="H72" s="248">
        <f>$G72*B72*30/100</f>
        <v>0</v>
      </c>
      <c r="I72" s="202">
        <f>$G72*C72*30/100</f>
        <v>0</v>
      </c>
      <c r="J72" s="202">
        <f>$G72*D72*30/100</f>
        <v>0</v>
      </c>
      <c r="K72" s="168">
        <f t="shared" si="26"/>
        <v>0</v>
      </c>
      <c r="L72" s="170">
        <f t="shared" si="28"/>
        <v>0</v>
      </c>
      <c r="M72" s="173">
        <f>$G72*F72*30/100</f>
        <v>0</v>
      </c>
    </row>
    <row r="73" spans="1:14" x14ac:dyDescent="0.2">
      <c r="A73" s="161" t="s">
        <v>270</v>
      </c>
      <c r="B73" s="202">
        <v>2.7</v>
      </c>
      <c r="C73" s="202">
        <v>4</v>
      </c>
      <c r="D73" s="202">
        <v>11</v>
      </c>
      <c r="E73" s="199">
        <v>0</v>
      </c>
      <c r="F73" s="246">
        <f t="shared" si="29"/>
        <v>82.3</v>
      </c>
      <c r="G73" s="250"/>
      <c r="H73" s="248">
        <f t="shared" ref="H73:J75" si="31">$G73*B73*120/100</f>
        <v>0</v>
      </c>
      <c r="I73" s="202">
        <f t="shared" si="31"/>
        <v>0</v>
      </c>
      <c r="J73" s="202">
        <f t="shared" si="31"/>
        <v>0</v>
      </c>
      <c r="K73" s="168">
        <f t="shared" si="26"/>
        <v>0</v>
      </c>
      <c r="L73" s="170">
        <f t="shared" si="28"/>
        <v>0</v>
      </c>
      <c r="M73" s="173">
        <f>$G73*F73*120/100</f>
        <v>0</v>
      </c>
    </row>
    <row r="74" spans="1:14" x14ac:dyDescent="0.2">
      <c r="A74" s="161" t="s">
        <v>271</v>
      </c>
      <c r="B74" s="202">
        <v>3</v>
      </c>
      <c r="C74" s="202">
        <v>0</v>
      </c>
      <c r="D74" s="202">
        <v>12.5</v>
      </c>
      <c r="E74" s="199">
        <v>0</v>
      </c>
      <c r="F74" s="246">
        <f t="shared" si="29"/>
        <v>84.5</v>
      </c>
      <c r="G74" s="250"/>
      <c r="H74" s="248">
        <f t="shared" si="31"/>
        <v>0</v>
      </c>
      <c r="I74" s="202">
        <f t="shared" si="31"/>
        <v>0</v>
      </c>
      <c r="J74" s="202">
        <f t="shared" si="31"/>
        <v>0</v>
      </c>
      <c r="K74" s="168">
        <f t="shared" si="26"/>
        <v>0</v>
      </c>
      <c r="L74" s="170">
        <f t="shared" si="28"/>
        <v>0</v>
      </c>
      <c r="M74" s="173">
        <f>$G74*F74*120/100</f>
        <v>0</v>
      </c>
    </row>
    <row r="75" spans="1:14" x14ac:dyDescent="0.2">
      <c r="A75" s="201" t="s">
        <v>272</v>
      </c>
      <c r="B75" s="202">
        <v>2</v>
      </c>
      <c r="C75" s="202">
        <v>32</v>
      </c>
      <c r="D75" s="202">
        <v>8.5</v>
      </c>
      <c r="E75" s="199">
        <v>0</v>
      </c>
      <c r="F75" s="246">
        <f t="shared" si="29"/>
        <v>57.5</v>
      </c>
      <c r="G75" s="250"/>
      <c r="H75" s="248">
        <f t="shared" si="31"/>
        <v>0</v>
      </c>
      <c r="I75" s="202">
        <f t="shared" si="31"/>
        <v>0</v>
      </c>
      <c r="J75" s="202">
        <f t="shared" si="31"/>
        <v>0</v>
      </c>
      <c r="K75" s="168">
        <f t="shared" si="26"/>
        <v>0</v>
      </c>
      <c r="L75" s="170">
        <f t="shared" si="28"/>
        <v>0</v>
      </c>
      <c r="M75" s="173">
        <f>$G75*F75*120/100</f>
        <v>0</v>
      </c>
    </row>
    <row r="76" spans="1:14" x14ac:dyDescent="0.2">
      <c r="A76" s="161" t="s">
        <v>273</v>
      </c>
      <c r="B76" s="202">
        <v>3.3</v>
      </c>
      <c r="C76" s="202">
        <v>33</v>
      </c>
      <c r="D76" s="202">
        <v>2.6</v>
      </c>
      <c r="E76" s="199">
        <v>0</v>
      </c>
      <c r="F76" s="246">
        <f t="shared" si="29"/>
        <v>61.1</v>
      </c>
      <c r="G76" s="250"/>
      <c r="H76" s="248">
        <f>$G76*B76*30/100</f>
        <v>0</v>
      </c>
      <c r="I76" s="202">
        <f>$G76*C76*30/100</f>
        <v>0</v>
      </c>
      <c r="J76" s="202">
        <f>$G76*D76*30/100</f>
        <v>0</v>
      </c>
      <c r="K76" s="168">
        <f t="shared" si="26"/>
        <v>0</v>
      </c>
      <c r="L76" s="170">
        <f t="shared" si="28"/>
        <v>0</v>
      </c>
      <c r="M76" s="173">
        <f>$G76*F76*30/100</f>
        <v>0</v>
      </c>
    </row>
    <row r="77" spans="1:14" x14ac:dyDescent="0.2">
      <c r="A77" s="161" t="s">
        <v>267</v>
      </c>
      <c r="B77" s="204">
        <v>24.5</v>
      </c>
      <c r="C77" s="204">
        <v>3.4</v>
      </c>
      <c r="D77" s="204">
        <v>4</v>
      </c>
      <c r="E77" s="199">
        <v>0</v>
      </c>
      <c r="F77" s="246">
        <f t="shared" si="29"/>
        <v>68.099999999999994</v>
      </c>
      <c r="G77" s="250"/>
      <c r="H77" s="248">
        <f t="shared" ref="H77:J79" si="32">$G77*B77*125/100</f>
        <v>0</v>
      </c>
      <c r="I77" s="202">
        <f t="shared" si="32"/>
        <v>0</v>
      </c>
      <c r="J77" s="202">
        <f t="shared" si="32"/>
        <v>0</v>
      </c>
      <c r="K77" s="168">
        <f t="shared" si="26"/>
        <v>0</v>
      </c>
      <c r="L77" s="170">
        <f t="shared" si="28"/>
        <v>0</v>
      </c>
      <c r="M77" s="173">
        <f>$G77*F77*125/100</f>
        <v>0</v>
      </c>
      <c r="N77" s="73"/>
    </row>
    <row r="78" spans="1:14" x14ac:dyDescent="0.2">
      <c r="A78" s="161" t="s">
        <v>350</v>
      </c>
      <c r="B78" s="204">
        <v>5.8</v>
      </c>
      <c r="C78" s="204">
        <v>4.4000000000000004</v>
      </c>
      <c r="D78" s="204">
        <v>5</v>
      </c>
      <c r="E78" s="199">
        <v>0</v>
      </c>
      <c r="F78" s="246">
        <f t="shared" si="29"/>
        <v>84.8</v>
      </c>
      <c r="G78" s="250"/>
      <c r="H78" s="248">
        <f t="shared" si="32"/>
        <v>0</v>
      </c>
      <c r="I78" s="202">
        <f t="shared" si="32"/>
        <v>0</v>
      </c>
      <c r="J78" s="202">
        <f t="shared" si="32"/>
        <v>0</v>
      </c>
      <c r="K78" s="168">
        <f t="shared" si="26"/>
        <v>0</v>
      </c>
      <c r="L78" s="170">
        <f t="shared" si="28"/>
        <v>0</v>
      </c>
      <c r="M78" s="173">
        <f>$G78*F78*125/100</f>
        <v>0</v>
      </c>
    </row>
    <row r="79" spans="1:14" x14ac:dyDescent="0.2">
      <c r="A79" s="612" t="s">
        <v>268</v>
      </c>
      <c r="B79" s="613">
        <v>7.6</v>
      </c>
      <c r="C79" s="613">
        <v>0.1</v>
      </c>
      <c r="D79" s="613">
        <v>5.7</v>
      </c>
      <c r="E79" s="614">
        <v>0</v>
      </c>
      <c r="F79" s="615">
        <f t="shared" si="29"/>
        <v>86.600000000000009</v>
      </c>
      <c r="G79" s="382"/>
      <c r="H79" s="616">
        <f t="shared" si="32"/>
        <v>0</v>
      </c>
      <c r="I79" s="617">
        <f t="shared" si="32"/>
        <v>0</v>
      </c>
      <c r="J79" s="617">
        <f t="shared" si="32"/>
        <v>0</v>
      </c>
      <c r="K79" s="618">
        <f t="shared" si="26"/>
        <v>0</v>
      </c>
      <c r="L79" s="170">
        <f t="shared" si="28"/>
        <v>0</v>
      </c>
      <c r="M79" s="619">
        <f>$G79*F79*125/100</f>
        <v>0</v>
      </c>
    </row>
    <row r="80" spans="1:14" x14ac:dyDescent="0.2">
      <c r="A80" s="419" t="s">
        <v>313</v>
      </c>
      <c r="B80" s="420"/>
      <c r="C80" s="420"/>
      <c r="D80" s="420"/>
      <c r="E80" s="421"/>
      <c r="F80" s="420"/>
      <c r="G80" s="422"/>
      <c r="H80" s="420"/>
      <c r="I80" s="420"/>
      <c r="J80" s="420"/>
      <c r="K80" s="420"/>
      <c r="L80" s="420"/>
      <c r="M80" s="420"/>
    </row>
    <row r="81" spans="1:13" ht="13.5" thickBot="1" x14ac:dyDescent="0.25">
      <c r="A81" s="419" t="s">
        <v>311</v>
      </c>
      <c r="B81" s="419" t="s">
        <v>8</v>
      </c>
      <c r="C81" s="419" t="s">
        <v>9</v>
      </c>
      <c r="D81" s="419" t="s">
        <v>10</v>
      </c>
      <c r="E81" s="419" t="s">
        <v>144</v>
      </c>
      <c r="F81" s="419" t="s">
        <v>117</v>
      </c>
      <c r="G81" s="422"/>
      <c r="H81" s="420"/>
      <c r="I81" s="423"/>
      <c r="J81" s="420"/>
      <c r="K81" s="420"/>
      <c r="L81" s="420"/>
      <c r="M81" s="420"/>
    </row>
    <row r="82" spans="1:13" ht="13.5" thickBot="1" x14ac:dyDescent="0.25">
      <c r="A82" s="597"/>
      <c r="B82" s="608"/>
      <c r="C82" s="598"/>
      <c r="D82" s="609"/>
      <c r="E82" s="599"/>
      <c r="F82" s="598"/>
      <c r="G82" s="600"/>
      <c r="H82" s="283">
        <f>$G82*B82*E83/100</f>
        <v>0</v>
      </c>
      <c r="I82" s="284">
        <f>$G82*C82*E83/100</f>
        <v>0</v>
      </c>
      <c r="J82" s="284">
        <f>$G82*D82*E83/100</f>
        <v>0</v>
      </c>
      <c r="K82" s="285">
        <f>H82*16.7+I82*37.6+J82*16.7</f>
        <v>0</v>
      </c>
      <c r="L82" s="284">
        <f>$G82*E82*D83/100</f>
        <v>0</v>
      </c>
      <c r="M82" s="284">
        <f>$G82*F82*E83/100</f>
        <v>0</v>
      </c>
    </row>
    <row r="83" spans="1:13" ht="13.5" thickBot="1" x14ac:dyDescent="0.25">
      <c r="A83" s="671" t="s">
        <v>282</v>
      </c>
      <c r="B83" s="671"/>
      <c r="C83" s="671"/>
      <c r="D83" s="671"/>
      <c r="E83" s="601"/>
      <c r="F83" s="429"/>
      <c r="G83" s="430"/>
      <c r="H83" s="431" t="s">
        <v>8</v>
      </c>
      <c r="I83" s="431" t="s">
        <v>9</v>
      </c>
      <c r="J83" s="431" t="s">
        <v>10</v>
      </c>
      <c r="K83" s="431" t="s">
        <v>5</v>
      </c>
      <c r="L83" s="431" t="s">
        <v>144</v>
      </c>
      <c r="M83" s="431" t="s">
        <v>117</v>
      </c>
    </row>
    <row r="84" spans="1:13" x14ac:dyDescent="0.2">
      <c r="A84" s="432" t="s">
        <v>281</v>
      </c>
      <c r="B84" s="429"/>
      <c r="C84" s="429"/>
      <c r="D84" s="429"/>
      <c r="E84" s="433"/>
      <c r="F84" s="429"/>
      <c r="G84" s="430"/>
      <c r="H84" s="286">
        <f>SUM(H2:H82)</f>
        <v>443.74999999999994</v>
      </c>
      <c r="I84" s="286">
        <f>SUM(I2:I82)</f>
        <v>83.390000000000015</v>
      </c>
      <c r="J84" s="286">
        <f>SUM(J2:J82)</f>
        <v>57.4</v>
      </c>
      <c r="K84" s="286">
        <f>SUM(K2:K82)</f>
        <v>11504.668999999998</v>
      </c>
      <c r="L84" s="286">
        <f>SUM(L2:L82)</f>
        <v>7.61</v>
      </c>
      <c r="M84" s="286">
        <f>SUM(M4:M12)+SUM(M19:M77)</f>
        <v>1649.16</v>
      </c>
    </row>
    <row r="85" spans="1:13" x14ac:dyDescent="0.2">
      <c r="L85" s="46"/>
    </row>
    <row r="86" spans="1:13" x14ac:dyDescent="0.2">
      <c r="L86" s="63"/>
    </row>
    <row r="87" spans="1:13" x14ac:dyDescent="0.2">
      <c r="L87" s="63"/>
    </row>
    <row r="88" spans="1:13" x14ac:dyDescent="0.2">
      <c r="L88" s="63"/>
    </row>
    <row r="89" spans="1:13" x14ac:dyDescent="0.2">
      <c r="L89" s="620"/>
    </row>
    <row r="90" spans="1:13" x14ac:dyDescent="0.2">
      <c r="L90" s="63"/>
    </row>
    <row r="91" spans="1:13" x14ac:dyDescent="0.2">
      <c r="L91" s="63"/>
    </row>
    <row r="121" spans="15:20" x14ac:dyDescent="0.2">
      <c r="O121" s="58"/>
      <c r="P121" s="58"/>
      <c r="Q121" s="58"/>
      <c r="R121" s="58"/>
      <c r="S121" s="58"/>
      <c r="T121" s="58"/>
    </row>
    <row r="150" spans="15:20" x14ac:dyDescent="0.2">
      <c r="O150" s="49"/>
      <c r="P150" s="49"/>
      <c r="Q150" s="49"/>
      <c r="R150" s="49"/>
      <c r="S150" s="49"/>
      <c r="T150" s="49"/>
    </row>
    <row r="151" spans="15:20" x14ac:dyDescent="0.2">
      <c r="O151" s="49"/>
      <c r="P151" s="49"/>
      <c r="Q151" s="49"/>
      <c r="R151" s="49"/>
      <c r="S151" s="49"/>
      <c r="T151" s="49"/>
    </row>
  </sheetData>
  <sheetProtection password="F2E4" sheet="1" objects="1" scenarios="1" selectLockedCells="1"/>
  <mergeCells count="8">
    <mergeCell ref="A83:D83"/>
    <mergeCell ref="P21:S23"/>
    <mergeCell ref="A1:A2"/>
    <mergeCell ref="B1:E1"/>
    <mergeCell ref="H1:J1"/>
    <mergeCell ref="P2:S3"/>
    <mergeCell ref="P7:S18"/>
    <mergeCell ref="A3:M3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77"/>
  <sheetViews>
    <sheetView topLeftCell="A37" workbookViewId="0">
      <selection activeCell="G136" sqref="G136"/>
    </sheetView>
  </sheetViews>
  <sheetFormatPr defaultColWidth="11" defaultRowHeight="12.75" x14ac:dyDescent="0.2"/>
  <cols>
    <col min="1" max="1" width="25" style="59" customWidth="1"/>
    <col min="2" max="5" width="4.7109375" style="60" customWidth="1"/>
    <col min="6" max="6" width="6.28515625" style="60" customWidth="1"/>
    <col min="7" max="7" width="9.140625" style="62" customWidth="1"/>
    <col min="8" max="10" width="5.7109375" style="60" customWidth="1"/>
    <col min="11" max="12" width="7.7109375" style="60" customWidth="1"/>
    <col min="13" max="13" width="10" style="63" customWidth="1"/>
    <col min="14" max="14" width="0.7109375" style="64" customWidth="1"/>
    <col min="15" max="15" width="3.7109375" style="43" customWidth="1"/>
    <col min="16" max="16" width="19.85546875" style="43" customWidth="1"/>
    <col min="17" max="18" width="11.42578125" style="43" customWidth="1"/>
    <col min="19" max="19" width="7.7109375" style="43" customWidth="1"/>
    <col min="20" max="20" width="4" style="43" customWidth="1"/>
    <col min="21" max="21" width="24.7109375" style="1" customWidth="1"/>
    <col min="22" max="16384" width="11" style="1"/>
  </cols>
  <sheetData>
    <row r="1" spans="1:22" ht="18.75" customHeight="1" thickBot="1" x14ac:dyDescent="0.35">
      <c r="A1" s="684" t="s">
        <v>138</v>
      </c>
      <c r="B1" s="686" t="s">
        <v>141</v>
      </c>
      <c r="C1" s="686"/>
      <c r="D1" s="686"/>
      <c r="E1" s="686"/>
      <c r="F1" s="310"/>
      <c r="G1" s="311" t="s">
        <v>140</v>
      </c>
      <c r="H1" s="687" t="s">
        <v>142</v>
      </c>
      <c r="I1" s="687"/>
      <c r="J1" s="687"/>
      <c r="K1" s="312" t="s">
        <v>143</v>
      </c>
      <c r="L1" s="313" t="s">
        <v>144</v>
      </c>
      <c r="M1" s="313" t="s">
        <v>117</v>
      </c>
      <c r="O1" s="48"/>
      <c r="P1" s="488" t="s">
        <v>373</v>
      </c>
      <c r="Q1" s="48"/>
      <c r="R1" s="48"/>
      <c r="S1" s="48"/>
      <c r="T1" s="48"/>
    </row>
    <row r="2" spans="1:22" ht="12.75" customHeight="1" thickBot="1" x14ac:dyDescent="0.25">
      <c r="A2" s="685"/>
      <c r="B2" s="314" t="s">
        <v>8</v>
      </c>
      <c r="C2" s="315" t="s">
        <v>9</v>
      </c>
      <c r="D2" s="315" t="s">
        <v>10</v>
      </c>
      <c r="E2" s="316" t="s">
        <v>144</v>
      </c>
      <c r="F2" s="317" t="s">
        <v>145</v>
      </c>
      <c r="G2" s="323" t="s">
        <v>139</v>
      </c>
      <c r="H2" s="318" t="s">
        <v>8</v>
      </c>
      <c r="I2" s="319" t="s">
        <v>9</v>
      </c>
      <c r="J2" s="320" t="s">
        <v>10</v>
      </c>
      <c r="K2" s="321" t="s">
        <v>5</v>
      </c>
      <c r="L2" s="322"/>
      <c r="M2" s="322"/>
      <c r="O2" s="48"/>
      <c r="P2" s="688" t="s">
        <v>54</v>
      </c>
      <c r="Q2" s="688"/>
      <c r="R2" s="688"/>
      <c r="S2" s="688"/>
      <c r="T2" s="48"/>
      <c r="U2" s="463" t="s">
        <v>348</v>
      </c>
      <c r="V2" s="2">
        <f>SUM(K22:K27)+SUM(K32:K44)+(K92+K93+K94+K99+K162+K164+K165+K166+K167+K168+K169+K170+K171)/2</f>
        <v>10007.609999999999</v>
      </c>
    </row>
    <row r="3" spans="1:22" ht="18" customHeight="1" thickBot="1" x14ac:dyDescent="0.25">
      <c r="A3" s="689" t="s">
        <v>160</v>
      </c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1"/>
      <c r="O3" s="48"/>
      <c r="P3" s="688"/>
      <c r="Q3" s="688"/>
      <c r="R3" s="688"/>
      <c r="S3" s="688"/>
      <c r="T3" s="48"/>
      <c r="U3" s="50" t="s">
        <v>347</v>
      </c>
      <c r="V3" s="2">
        <f>SUM(K29,K70:K73)</f>
        <v>0</v>
      </c>
    </row>
    <row r="4" spans="1:22" x14ac:dyDescent="0.2">
      <c r="A4" s="197" t="s">
        <v>161</v>
      </c>
      <c r="B4" s="198">
        <v>1.5</v>
      </c>
      <c r="C4" s="198">
        <v>1.8</v>
      </c>
      <c r="D4" s="198">
        <v>1</v>
      </c>
      <c r="E4" s="163">
        <v>0</v>
      </c>
      <c r="F4" s="245">
        <f>100-B4-C4-D4</f>
        <v>95.7</v>
      </c>
      <c r="G4" s="273"/>
      <c r="H4" s="271">
        <f>$G4*B4*100/100</f>
        <v>0</v>
      </c>
      <c r="I4" s="170">
        <f>$G4*C4*100/100</f>
        <v>0</v>
      </c>
      <c r="J4" s="170">
        <f>$G4*D4*100/100</f>
        <v>0</v>
      </c>
      <c r="K4" s="200">
        <f t="shared" ref="K4:K12" si="0">H4*16.7+I4*37.6+J4*16.7</f>
        <v>0</v>
      </c>
      <c r="L4" s="170">
        <f>$G4*E4*100/100</f>
        <v>0</v>
      </c>
      <c r="M4" s="170">
        <f>$G4*F4*100/100</f>
        <v>0</v>
      </c>
      <c r="O4" s="48"/>
      <c r="P4" s="48" t="s">
        <v>55</v>
      </c>
      <c r="Q4" s="52">
        <f>K177</f>
        <v>32347.438599999998</v>
      </c>
      <c r="R4" s="48" t="s">
        <v>5</v>
      </c>
      <c r="S4" s="48"/>
      <c r="T4" s="48"/>
      <c r="U4" s="50" t="s">
        <v>38</v>
      </c>
      <c r="V4" s="2">
        <f>SUM(K9:K10)+SUM(K46:K69)+SUM(K74:K90)</f>
        <v>1248.8500000000001</v>
      </c>
    </row>
    <row r="5" spans="1:22" x14ac:dyDescent="0.2">
      <c r="A5" s="201" t="s">
        <v>162</v>
      </c>
      <c r="B5" s="163">
        <v>0</v>
      </c>
      <c r="C5" s="163">
        <v>0.2</v>
      </c>
      <c r="D5" s="163">
        <v>0</v>
      </c>
      <c r="E5" s="163">
        <v>0</v>
      </c>
      <c r="F5" s="164">
        <f>100-B5-C5-D5</f>
        <v>99.8</v>
      </c>
      <c r="G5" s="130"/>
      <c r="H5" s="269">
        <f t="shared" ref="H5:J8" si="1">$G5*B5*150/100</f>
        <v>0</v>
      </c>
      <c r="I5" s="173">
        <f t="shared" si="1"/>
        <v>0</v>
      </c>
      <c r="J5" s="173">
        <f t="shared" si="1"/>
        <v>0</v>
      </c>
      <c r="K5" s="168">
        <f t="shared" si="0"/>
        <v>0</v>
      </c>
      <c r="L5" s="122">
        <f t="shared" ref="L5:L10" si="2">$G5*E5*100/100</f>
        <v>0</v>
      </c>
      <c r="M5" s="173">
        <f>$G5*F5*100/100</f>
        <v>0</v>
      </c>
      <c r="O5" s="48"/>
      <c r="P5" s="48" t="s">
        <v>56</v>
      </c>
      <c r="Q5" s="48"/>
      <c r="R5" s="48"/>
      <c r="S5" s="48"/>
      <c r="T5" s="48"/>
      <c r="U5" s="50" t="s">
        <v>68</v>
      </c>
      <c r="V5" s="2">
        <f>SUM(K123:K152)+(K162+K167+K168+K169+K171)/1.8</f>
        <v>7187.5</v>
      </c>
    </row>
    <row r="6" spans="1:22" x14ac:dyDescent="0.2">
      <c r="A6" s="201" t="s">
        <v>108</v>
      </c>
      <c r="B6" s="163">
        <v>11</v>
      </c>
      <c r="C6" s="163">
        <v>0</v>
      </c>
      <c r="D6" s="163">
        <v>0</v>
      </c>
      <c r="E6" s="163">
        <v>0</v>
      </c>
      <c r="F6" s="164">
        <f>100-B6-C6-D6</f>
        <v>89</v>
      </c>
      <c r="G6" s="130">
        <v>3</v>
      </c>
      <c r="H6" s="269">
        <f t="shared" si="1"/>
        <v>49.5</v>
      </c>
      <c r="I6" s="173">
        <f t="shared" si="1"/>
        <v>0</v>
      </c>
      <c r="J6" s="173">
        <f t="shared" si="1"/>
        <v>0</v>
      </c>
      <c r="K6" s="168">
        <f t="shared" si="0"/>
        <v>826.65</v>
      </c>
      <c r="L6" s="122">
        <f t="shared" si="2"/>
        <v>0</v>
      </c>
      <c r="M6" s="173">
        <f>$G6*F6*330/100</f>
        <v>881.1</v>
      </c>
      <c r="O6" s="48"/>
      <c r="P6" s="48"/>
      <c r="Q6" s="48"/>
      <c r="R6" s="48"/>
      <c r="S6" s="48"/>
      <c r="T6" s="48"/>
      <c r="U6" s="50" t="s">
        <v>39</v>
      </c>
      <c r="V6" s="2">
        <f>K3+SUM(K106:K121)+K97+(K163+K169)/2</f>
        <v>5157.2736000000004</v>
      </c>
    </row>
    <row r="7" spans="1:22" x14ac:dyDescent="0.2">
      <c r="A7" s="201" t="s">
        <v>163</v>
      </c>
      <c r="B7" s="202">
        <v>0</v>
      </c>
      <c r="C7" s="202">
        <v>0</v>
      </c>
      <c r="D7" s="202">
        <v>0</v>
      </c>
      <c r="E7" s="163">
        <v>0</v>
      </c>
      <c r="F7" s="246">
        <v>100</v>
      </c>
      <c r="G7" s="250"/>
      <c r="H7" s="269">
        <f t="shared" si="1"/>
        <v>0</v>
      </c>
      <c r="I7" s="173">
        <f t="shared" si="1"/>
        <v>0</v>
      </c>
      <c r="J7" s="173">
        <f t="shared" si="1"/>
        <v>0</v>
      </c>
      <c r="K7" s="168">
        <f t="shared" si="0"/>
        <v>0</v>
      </c>
      <c r="L7" s="122">
        <f t="shared" si="2"/>
        <v>0</v>
      </c>
      <c r="M7" s="173">
        <f>$G7*F7*150/100</f>
        <v>0</v>
      </c>
      <c r="O7" s="48"/>
      <c r="P7" s="645"/>
      <c r="Q7" s="645"/>
      <c r="R7" s="645"/>
      <c r="S7" s="645"/>
      <c r="T7" s="48"/>
      <c r="U7" s="50" t="s">
        <v>40</v>
      </c>
      <c r="V7" s="2">
        <f>SUM(K155:K158)+K106+(K92+K93+K94+K95+K96+K97+K98+K99+K101++K102+K103+K159+K160+K161+K166+K171+K166+K168+K171)/2</f>
        <v>3385.16</v>
      </c>
    </row>
    <row r="8" spans="1:22" x14ac:dyDescent="0.2">
      <c r="A8" s="201" t="s">
        <v>164</v>
      </c>
      <c r="B8" s="202">
        <v>0</v>
      </c>
      <c r="C8" s="202">
        <v>0</v>
      </c>
      <c r="D8" s="202">
        <v>0</v>
      </c>
      <c r="E8" s="163">
        <v>0</v>
      </c>
      <c r="F8" s="246">
        <v>100</v>
      </c>
      <c r="G8" s="623">
        <v>11</v>
      </c>
      <c r="H8" s="269">
        <f t="shared" si="1"/>
        <v>0</v>
      </c>
      <c r="I8" s="173">
        <f t="shared" si="1"/>
        <v>0</v>
      </c>
      <c r="J8" s="173">
        <f t="shared" si="1"/>
        <v>0</v>
      </c>
      <c r="K8" s="168">
        <f t="shared" si="0"/>
        <v>0</v>
      </c>
      <c r="L8" s="122">
        <f t="shared" si="2"/>
        <v>0</v>
      </c>
      <c r="M8" s="173">
        <f>$G8*F8*150/100</f>
        <v>1650</v>
      </c>
      <c r="O8" s="48"/>
      <c r="P8" s="645"/>
      <c r="Q8" s="645"/>
      <c r="R8" s="645"/>
      <c r="S8" s="645"/>
      <c r="T8" s="48"/>
      <c r="U8" s="50" t="s">
        <v>359</v>
      </c>
      <c r="V8" s="2">
        <f>K104+(K6+K10+K11+K46+K92+K93+K94+K95+K96+K97+K98+K99+K100+K101+K102+K103+K161)/2</f>
        <v>3246.9650000000001</v>
      </c>
    </row>
    <row r="9" spans="1:22" x14ac:dyDescent="0.2">
      <c r="A9" s="201" t="s">
        <v>364</v>
      </c>
      <c r="B9" s="202">
        <v>9</v>
      </c>
      <c r="C9" s="202">
        <v>0</v>
      </c>
      <c r="D9" s="202">
        <v>0.7</v>
      </c>
      <c r="E9" s="163">
        <v>0</v>
      </c>
      <c r="F9" s="246">
        <v>90</v>
      </c>
      <c r="G9" s="250"/>
      <c r="H9" s="269">
        <f t="shared" ref="H9:J10" si="3">$G9*B9*200/100</f>
        <v>0</v>
      </c>
      <c r="I9" s="173">
        <f t="shared" si="3"/>
        <v>0</v>
      </c>
      <c r="J9" s="173">
        <f t="shared" si="3"/>
        <v>0</v>
      </c>
      <c r="K9" s="168">
        <f t="shared" si="0"/>
        <v>0</v>
      </c>
      <c r="L9" s="122">
        <f t="shared" si="2"/>
        <v>0</v>
      </c>
      <c r="M9" s="173">
        <f>$G9*F9*200/100</f>
        <v>0</v>
      </c>
      <c r="O9" s="48"/>
      <c r="P9" s="645"/>
      <c r="Q9" s="645"/>
      <c r="R9" s="645"/>
      <c r="S9" s="645"/>
      <c r="T9" s="48"/>
      <c r="U9" s="463" t="s">
        <v>361</v>
      </c>
      <c r="V9" s="2">
        <f>M20</f>
        <v>0</v>
      </c>
    </row>
    <row r="10" spans="1:22" x14ac:dyDescent="0.2">
      <c r="A10" s="161" t="s">
        <v>110</v>
      </c>
      <c r="B10" s="204">
        <v>10</v>
      </c>
      <c r="C10" s="204">
        <v>0.5</v>
      </c>
      <c r="D10" s="204">
        <v>0.5</v>
      </c>
      <c r="E10" s="163">
        <v>0</v>
      </c>
      <c r="F10" s="246">
        <f>100-B10-C10-D10</f>
        <v>89</v>
      </c>
      <c r="G10" s="250"/>
      <c r="H10" s="269">
        <f t="shared" si="3"/>
        <v>0</v>
      </c>
      <c r="I10" s="173">
        <f t="shared" si="3"/>
        <v>0</v>
      </c>
      <c r="J10" s="173">
        <f t="shared" si="3"/>
        <v>0</v>
      </c>
      <c r="K10" s="168">
        <f t="shared" si="0"/>
        <v>0</v>
      </c>
      <c r="L10" s="122">
        <f t="shared" si="2"/>
        <v>0</v>
      </c>
      <c r="M10" s="173">
        <f>$G10*F10*200/100</f>
        <v>0</v>
      </c>
      <c r="O10" s="48"/>
      <c r="P10" s="645"/>
      <c r="Q10" s="645"/>
      <c r="R10" s="645"/>
      <c r="S10" s="645"/>
      <c r="T10" s="48"/>
    </row>
    <row r="11" spans="1:22" x14ac:dyDescent="0.2">
      <c r="A11" s="201" t="s">
        <v>360</v>
      </c>
      <c r="B11" s="202">
        <v>9</v>
      </c>
      <c r="C11" s="202">
        <v>0</v>
      </c>
      <c r="D11" s="202">
        <v>0</v>
      </c>
      <c r="E11" s="163">
        <v>0</v>
      </c>
      <c r="F11" s="246">
        <v>91</v>
      </c>
      <c r="G11" s="250"/>
      <c r="H11" s="269">
        <f>$G11*B11*180/100</f>
        <v>0</v>
      </c>
      <c r="I11" s="173">
        <f>$G11*C11*180/100</f>
        <v>0</v>
      </c>
      <c r="J11" s="173">
        <f>$G11*D11*180/100</f>
        <v>0</v>
      </c>
      <c r="K11" s="168">
        <f t="shared" si="0"/>
        <v>0</v>
      </c>
      <c r="L11" s="122">
        <f>$G11*E11*100/100</f>
        <v>0</v>
      </c>
      <c r="M11" s="173">
        <f>$G11*F11*180/100</f>
        <v>0</v>
      </c>
      <c r="O11" s="48"/>
      <c r="P11" s="645"/>
      <c r="Q11" s="645"/>
      <c r="R11" s="645"/>
      <c r="S11" s="645"/>
      <c r="T11" s="48"/>
    </row>
    <row r="12" spans="1:22" ht="13.5" thickBot="1" x14ac:dyDescent="0.25">
      <c r="A12" s="232" t="s">
        <v>166</v>
      </c>
      <c r="B12" s="229">
        <v>0.1</v>
      </c>
      <c r="C12" s="229">
        <v>0</v>
      </c>
      <c r="D12" s="229">
        <v>0.1</v>
      </c>
      <c r="E12" s="163">
        <v>0</v>
      </c>
      <c r="F12" s="252">
        <f>100-B12-C12-D12</f>
        <v>99.800000000000011</v>
      </c>
      <c r="G12" s="251"/>
      <c r="H12" s="270">
        <f>$G12*B12*150/100</f>
        <v>0</v>
      </c>
      <c r="I12" s="176">
        <f>$G12*C12*150/100</f>
        <v>0</v>
      </c>
      <c r="J12" s="176">
        <f>$G12*D12*150/100</f>
        <v>0</v>
      </c>
      <c r="K12" s="230">
        <f t="shared" si="0"/>
        <v>0</v>
      </c>
      <c r="L12" s="122">
        <f>$G12*E12*100/100</f>
        <v>0</v>
      </c>
      <c r="M12" s="176">
        <f>$G12*F12*150/100</f>
        <v>0</v>
      </c>
      <c r="O12" s="48"/>
      <c r="P12" s="645"/>
      <c r="Q12" s="645"/>
      <c r="R12" s="645"/>
      <c r="S12" s="645"/>
      <c r="T12" s="48"/>
    </row>
    <row r="13" spans="1:22" ht="18" customHeight="1" thickBot="1" x14ac:dyDescent="0.25">
      <c r="A13" s="297" t="s">
        <v>173</v>
      </c>
      <c r="B13" s="298"/>
      <c r="C13" s="298"/>
      <c r="D13" s="298"/>
      <c r="E13" s="299"/>
      <c r="F13" s="300" t="s">
        <v>174</v>
      </c>
      <c r="G13" s="301"/>
      <c r="H13" s="300"/>
      <c r="I13" s="300"/>
      <c r="J13" s="300"/>
      <c r="K13" s="300"/>
      <c r="L13" s="592"/>
      <c r="M13" s="302" t="s">
        <v>174</v>
      </c>
      <c r="O13" s="48"/>
      <c r="P13" s="645"/>
      <c r="Q13" s="645"/>
      <c r="R13" s="645"/>
      <c r="S13" s="645"/>
      <c r="T13" s="48"/>
    </row>
    <row r="14" spans="1:22" x14ac:dyDescent="0.2">
      <c r="A14" s="266" t="s">
        <v>167</v>
      </c>
      <c r="B14" s="198">
        <v>10</v>
      </c>
      <c r="C14" s="198">
        <v>0</v>
      </c>
      <c r="D14" s="198">
        <v>0.3</v>
      </c>
      <c r="E14" s="199">
        <v>0</v>
      </c>
      <c r="F14" s="279">
        <v>5</v>
      </c>
      <c r="G14" s="249"/>
      <c r="H14" s="271">
        <f t="shared" ref="H14:J15" si="4">$G14*B14*250/100</f>
        <v>0</v>
      </c>
      <c r="I14" s="170">
        <f t="shared" si="4"/>
        <v>0</v>
      </c>
      <c r="J14" s="170">
        <f t="shared" si="4"/>
        <v>0</v>
      </c>
      <c r="K14" s="200">
        <f t="shared" ref="K14:K19" si="5">H14*16.7+I14*37.6+J14*16.7</f>
        <v>0</v>
      </c>
      <c r="L14" s="590">
        <f t="shared" ref="L14:L19" si="6">$G14*E14*100/100</f>
        <v>0</v>
      </c>
      <c r="M14" s="261">
        <f>$G14*F14*250/100</f>
        <v>0</v>
      </c>
      <c r="O14" s="48"/>
      <c r="P14" s="645"/>
      <c r="Q14" s="645"/>
      <c r="R14" s="645"/>
      <c r="S14" s="645"/>
      <c r="T14" s="48"/>
    </row>
    <row r="15" spans="1:22" x14ac:dyDescent="0.2">
      <c r="A15" s="267" t="s">
        <v>168</v>
      </c>
      <c r="B15" s="268">
        <v>13.2</v>
      </c>
      <c r="C15" s="268">
        <v>0</v>
      </c>
      <c r="D15" s="268">
        <v>1</v>
      </c>
      <c r="E15" s="203">
        <v>0</v>
      </c>
      <c r="F15" s="280">
        <v>5</v>
      </c>
      <c r="G15" s="250"/>
      <c r="H15" s="248">
        <f t="shared" si="4"/>
        <v>0</v>
      </c>
      <c r="I15" s="202">
        <f t="shared" si="4"/>
        <v>0</v>
      </c>
      <c r="J15" s="202">
        <f t="shared" si="4"/>
        <v>0</v>
      </c>
      <c r="K15" s="168">
        <f t="shared" si="5"/>
        <v>0</v>
      </c>
      <c r="L15" s="590">
        <f t="shared" si="6"/>
        <v>0</v>
      </c>
      <c r="M15" s="262">
        <f>$G15*F15*250/100</f>
        <v>0</v>
      </c>
      <c r="O15" s="48"/>
      <c r="P15" s="645"/>
      <c r="Q15" s="645"/>
      <c r="R15" s="645"/>
      <c r="S15" s="645"/>
      <c r="T15" s="48"/>
    </row>
    <row r="16" spans="1:22" x14ac:dyDescent="0.2">
      <c r="A16" s="267" t="s">
        <v>169</v>
      </c>
      <c r="B16" s="268">
        <v>4</v>
      </c>
      <c r="C16" s="268">
        <v>0</v>
      </c>
      <c r="D16" s="268">
        <v>0.2</v>
      </c>
      <c r="E16" s="203">
        <v>0</v>
      </c>
      <c r="F16" s="280">
        <v>45</v>
      </c>
      <c r="G16" s="250"/>
      <c r="H16" s="248">
        <f>$G16*B16*30/100</f>
        <v>0</v>
      </c>
      <c r="I16" s="202">
        <f>$G16*C16*30/100</f>
        <v>0</v>
      </c>
      <c r="J16" s="202">
        <f>$G16*D16*30/100</f>
        <v>0</v>
      </c>
      <c r="K16" s="168">
        <f t="shared" si="5"/>
        <v>0</v>
      </c>
      <c r="L16" s="590">
        <f t="shared" si="6"/>
        <v>0</v>
      </c>
      <c r="M16" s="262">
        <f>$G16*F16*30/100</f>
        <v>0</v>
      </c>
      <c r="O16" s="48"/>
      <c r="P16" s="645"/>
      <c r="Q16" s="645"/>
      <c r="R16" s="645"/>
      <c r="S16" s="645"/>
      <c r="T16" s="48"/>
    </row>
    <row r="17" spans="1:20" x14ac:dyDescent="0.2">
      <c r="A17" s="267" t="s">
        <v>170</v>
      </c>
      <c r="B17" s="268">
        <v>0.15</v>
      </c>
      <c r="C17" s="268">
        <v>0</v>
      </c>
      <c r="D17" s="268">
        <v>0</v>
      </c>
      <c r="E17" s="203">
        <v>0</v>
      </c>
      <c r="F17" s="280">
        <v>13</v>
      </c>
      <c r="G17" s="250"/>
      <c r="H17" s="248">
        <f>$G17*B17*150/100</f>
        <v>0</v>
      </c>
      <c r="I17" s="202">
        <f>$G17*C17*150/100</f>
        <v>0</v>
      </c>
      <c r="J17" s="202">
        <f>$G17*D17*150/100</f>
        <v>0</v>
      </c>
      <c r="K17" s="168">
        <f t="shared" si="5"/>
        <v>0</v>
      </c>
      <c r="L17" s="590">
        <f t="shared" si="6"/>
        <v>0</v>
      </c>
      <c r="M17" s="262">
        <f>$G17*F17*150/100</f>
        <v>0</v>
      </c>
      <c r="O17" s="48"/>
      <c r="P17" s="645"/>
      <c r="Q17" s="645"/>
      <c r="R17" s="645"/>
      <c r="S17" s="645"/>
      <c r="T17" s="48"/>
    </row>
    <row r="18" spans="1:20" x14ac:dyDescent="0.2">
      <c r="A18" s="267" t="s">
        <v>171</v>
      </c>
      <c r="B18" s="268">
        <v>3</v>
      </c>
      <c r="C18" s="268">
        <v>0</v>
      </c>
      <c r="D18" s="268">
        <v>0.1</v>
      </c>
      <c r="E18" s="203">
        <v>0</v>
      </c>
      <c r="F18" s="280">
        <v>25</v>
      </c>
      <c r="G18" s="250"/>
      <c r="H18" s="248">
        <f>$G18*B18*60/100</f>
        <v>0</v>
      </c>
      <c r="I18" s="202">
        <f>$G18*C18*60/100</f>
        <v>0</v>
      </c>
      <c r="J18" s="202">
        <f>$G18*D18*60/100</f>
        <v>0</v>
      </c>
      <c r="K18" s="168">
        <f t="shared" si="5"/>
        <v>0</v>
      </c>
      <c r="L18" s="590">
        <f t="shared" si="6"/>
        <v>0</v>
      </c>
      <c r="M18" s="260">
        <f>$G18*F18*60/100</f>
        <v>0</v>
      </c>
      <c r="O18" s="48"/>
      <c r="P18" s="645"/>
      <c r="Q18" s="645"/>
      <c r="R18" s="645"/>
      <c r="S18" s="645"/>
      <c r="T18" s="48"/>
    </row>
    <row r="19" spans="1:20" ht="13.5" thickBot="1" x14ac:dyDescent="0.25">
      <c r="A19" s="267" t="s">
        <v>172</v>
      </c>
      <c r="B19" s="268">
        <v>0.5</v>
      </c>
      <c r="C19" s="268">
        <v>0</v>
      </c>
      <c r="D19" s="268">
        <v>0.2</v>
      </c>
      <c r="E19" s="203">
        <v>0</v>
      </c>
      <c r="F19" s="280">
        <v>45</v>
      </c>
      <c r="G19" s="251"/>
      <c r="H19" s="248">
        <f>$G19*B19*15/100</f>
        <v>0</v>
      </c>
      <c r="I19" s="202">
        <f>$G19*C19*15/100</f>
        <v>0</v>
      </c>
      <c r="J19" s="202">
        <f>$G19*D19*15/100</f>
        <v>0</v>
      </c>
      <c r="K19" s="168">
        <f t="shared" si="5"/>
        <v>0</v>
      </c>
      <c r="L19" s="590">
        <f t="shared" si="6"/>
        <v>0</v>
      </c>
      <c r="M19" s="262">
        <f>$G19*F19*15/100</f>
        <v>0</v>
      </c>
      <c r="O19" s="48"/>
      <c r="P19" s="48" t="s">
        <v>57</v>
      </c>
      <c r="Q19" s="52">
        <f>M177</f>
        <v>3999.5789999999997</v>
      </c>
      <c r="R19" s="48" t="s">
        <v>74</v>
      </c>
      <c r="S19" s="48"/>
      <c r="T19" s="48"/>
    </row>
    <row r="20" spans="1:20" ht="13.5" thickBot="1" x14ac:dyDescent="0.25">
      <c r="A20" s="291"/>
      <c r="B20" s="292"/>
      <c r="C20" s="293"/>
      <c r="D20" s="293"/>
      <c r="E20" s="294"/>
      <c r="F20" s="290"/>
      <c r="G20" s="272" t="s">
        <v>317</v>
      </c>
      <c r="H20" s="263"/>
      <c r="I20" s="263"/>
      <c r="J20" s="263"/>
      <c r="K20" s="264"/>
      <c r="L20" s="587"/>
      <c r="M20" s="265">
        <f>SUM(M14:M19)</f>
        <v>0</v>
      </c>
      <c r="O20" s="48"/>
      <c r="P20" s="54" t="s">
        <v>58</v>
      </c>
      <c r="Q20" s="55">
        <f>Q19/1000</f>
        <v>3.9995789999999998</v>
      </c>
      <c r="R20" s="48" t="s">
        <v>75</v>
      </c>
      <c r="S20" s="48"/>
      <c r="T20" s="48"/>
    </row>
    <row r="21" spans="1:20" ht="18" customHeight="1" thickBot="1" x14ac:dyDescent="0.25">
      <c r="A21" s="692" t="s">
        <v>316</v>
      </c>
      <c r="B21" s="693"/>
      <c r="C21" s="693"/>
      <c r="D21" s="693"/>
      <c r="E21" s="693"/>
      <c r="F21" s="693"/>
      <c r="G21" s="693"/>
      <c r="H21" s="693"/>
      <c r="I21" s="693"/>
      <c r="J21" s="693"/>
      <c r="K21" s="693"/>
      <c r="L21" s="693"/>
      <c r="M21" s="694"/>
      <c r="O21" s="48"/>
      <c r="P21" s="683" t="s">
        <v>79</v>
      </c>
      <c r="Q21" s="683"/>
      <c r="R21" s="683"/>
      <c r="S21" s="683"/>
      <c r="T21" s="48"/>
    </row>
    <row r="22" spans="1:20" ht="13.5" thickBot="1" x14ac:dyDescent="0.25">
      <c r="A22" s="224" t="s">
        <v>319</v>
      </c>
      <c r="B22" s="198">
        <v>50.5</v>
      </c>
      <c r="C22" s="198">
        <v>1</v>
      </c>
      <c r="D22" s="198">
        <v>7</v>
      </c>
      <c r="E22" s="199">
        <v>0.4</v>
      </c>
      <c r="F22" s="245">
        <f t="shared" ref="F22:F43" si="7">100-B22-C22-D22</f>
        <v>41.5</v>
      </c>
      <c r="G22" s="624">
        <v>2</v>
      </c>
      <c r="H22" s="247">
        <f>$G22*B22*30/100</f>
        <v>30.3</v>
      </c>
      <c r="I22" s="198">
        <f>$G22*C22*30/100</f>
        <v>0.6</v>
      </c>
      <c r="J22" s="198">
        <f>$G22*D22*30/100</f>
        <v>4.2</v>
      </c>
      <c r="K22" s="200">
        <f t="shared" ref="K22:K44" si="8">H22*16.7+I22*37.6+J22*16.7</f>
        <v>598.70999999999992</v>
      </c>
      <c r="L22" s="593">
        <f t="shared" ref="L22:L86" si="9">$G22*E22*100/100</f>
        <v>0.8</v>
      </c>
      <c r="M22" s="170">
        <f>$G22*F22*30/100</f>
        <v>24.9</v>
      </c>
      <c r="O22" s="48"/>
      <c r="P22" s="683"/>
      <c r="Q22" s="683"/>
      <c r="R22" s="683"/>
      <c r="S22" s="683"/>
      <c r="T22" s="48"/>
    </row>
    <row r="23" spans="1:20" s="67" customFormat="1" ht="13.5" thickBot="1" x14ac:dyDescent="0.25">
      <c r="A23" s="161" t="s">
        <v>176</v>
      </c>
      <c r="B23" s="204">
        <v>72.900000000000006</v>
      </c>
      <c r="C23" s="204">
        <v>6.5</v>
      </c>
      <c r="D23" s="204">
        <v>13.2</v>
      </c>
      <c r="E23" s="199">
        <v>0.4</v>
      </c>
      <c r="F23" s="246">
        <f t="shared" si="7"/>
        <v>7.399999999999995</v>
      </c>
      <c r="G23" s="250"/>
      <c r="H23" s="248">
        <f>$G23*B23*15/100</f>
        <v>0</v>
      </c>
      <c r="I23" s="202">
        <f>$G23*C23*15/100</f>
        <v>0</v>
      </c>
      <c r="J23" s="202">
        <f>$G23*D23*15/100</f>
        <v>0</v>
      </c>
      <c r="K23" s="168">
        <f t="shared" si="8"/>
        <v>0</v>
      </c>
      <c r="L23" s="590">
        <f t="shared" si="9"/>
        <v>0</v>
      </c>
      <c r="M23" s="173">
        <f>$G23*F23*15/100</f>
        <v>0</v>
      </c>
      <c r="N23" s="66"/>
      <c r="O23" s="56"/>
      <c r="P23" s="683"/>
      <c r="Q23" s="683"/>
      <c r="R23" s="683"/>
      <c r="S23" s="683"/>
      <c r="T23" s="56"/>
    </row>
    <row r="24" spans="1:20" ht="13.5" customHeight="1" x14ac:dyDescent="0.2">
      <c r="A24" s="161" t="s">
        <v>177</v>
      </c>
      <c r="B24" s="202">
        <v>49</v>
      </c>
      <c r="C24" s="202">
        <v>1</v>
      </c>
      <c r="D24" s="202">
        <v>8</v>
      </c>
      <c r="E24" s="203">
        <v>4.4000000000000004</v>
      </c>
      <c r="F24" s="246">
        <f t="shared" si="7"/>
        <v>42</v>
      </c>
      <c r="G24" s="250"/>
      <c r="H24" s="248">
        <f>$G24*B24*20/100</f>
        <v>0</v>
      </c>
      <c r="I24" s="202">
        <f>$G24*C24*20/100</f>
        <v>0</v>
      </c>
      <c r="J24" s="202">
        <f>$G24*D24*20/100</f>
        <v>0</v>
      </c>
      <c r="K24" s="168">
        <f t="shared" si="8"/>
        <v>0</v>
      </c>
      <c r="L24" s="590">
        <f t="shared" si="9"/>
        <v>0</v>
      </c>
      <c r="M24" s="173">
        <f>$G24*F24*20/100</f>
        <v>0</v>
      </c>
      <c r="O24" s="48"/>
      <c r="P24" s="48"/>
      <c r="Q24" s="459" t="s">
        <v>341</v>
      </c>
      <c r="R24" s="458" t="s">
        <v>342</v>
      </c>
      <c r="S24" s="48"/>
      <c r="T24" s="48"/>
    </row>
    <row r="25" spans="1:20" ht="13.5" customHeight="1" x14ac:dyDescent="0.2">
      <c r="A25" s="161" t="s">
        <v>190</v>
      </c>
      <c r="B25" s="202">
        <v>40.700000000000003</v>
      </c>
      <c r="C25" s="202">
        <v>11.8</v>
      </c>
      <c r="D25" s="202">
        <v>8.4</v>
      </c>
      <c r="E25" s="203">
        <v>0.4</v>
      </c>
      <c r="F25" s="246">
        <v>28.5</v>
      </c>
      <c r="G25" s="250"/>
      <c r="H25" s="248">
        <f>$G25*B25*100/100</f>
        <v>0</v>
      </c>
      <c r="I25" s="202">
        <f>$G25*C25*100/100</f>
        <v>0</v>
      </c>
      <c r="J25" s="202">
        <f>$G25*D25*100/100</f>
        <v>0</v>
      </c>
      <c r="K25" s="168">
        <f t="shared" si="8"/>
        <v>0</v>
      </c>
      <c r="L25" s="590">
        <f t="shared" si="9"/>
        <v>0</v>
      </c>
      <c r="M25" s="173">
        <f>$G25*F25*20/100</f>
        <v>0</v>
      </c>
      <c r="O25" s="48"/>
      <c r="P25" s="460" t="s">
        <v>59</v>
      </c>
      <c r="Q25" s="52">
        <f>colazione!K54</f>
        <v>40764.184000000001</v>
      </c>
      <c r="R25" s="55">
        <f>Q25*0.239006</f>
        <v>9742.8845611039997</v>
      </c>
      <c r="S25" s="48"/>
      <c r="T25" s="48"/>
    </row>
    <row r="26" spans="1:20" ht="13.5" customHeight="1" x14ac:dyDescent="0.2">
      <c r="A26" s="161" t="s">
        <v>178</v>
      </c>
      <c r="B26" s="202">
        <v>75</v>
      </c>
      <c r="C26" s="202">
        <v>2.5</v>
      </c>
      <c r="D26" s="202">
        <v>10</v>
      </c>
      <c r="E26" s="203">
        <v>0.4</v>
      </c>
      <c r="F26" s="246">
        <f t="shared" si="7"/>
        <v>12.5</v>
      </c>
      <c r="G26" s="250"/>
      <c r="H26" s="248">
        <f>$G26*B26*10/100</f>
        <v>0</v>
      </c>
      <c r="I26" s="202">
        <f>$G26*C26*10/100</f>
        <v>0</v>
      </c>
      <c r="J26" s="202">
        <f>$G26*D26*10/100</f>
        <v>0</v>
      </c>
      <c r="K26" s="168">
        <f t="shared" si="8"/>
        <v>0</v>
      </c>
      <c r="L26" s="590">
        <f t="shared" si="9"/>
        <v>0</v>
      </c>
      <c r="M26" s="173">
        <f>$G26*F26*10/100</f>
        <v>0</v>
      </c>
      <c r="O26" s="48"/>
      <c r="P26" s="460" t="s">
        <v>60</v>
      </c>
      <c r="Q26" s="52">
        <f>pranzo!K177</f>
        <v>21126.135000000002</v>
      </c>
      <c r="R26" s="55">
        <f t="shared" ref="R26:R29" si="10">Q26*0.239006</f>
        <v>5049.2730218100005</v>
      </c>
      <c r="S26" s="48"/>
      <c r="T26" s="48"/>
    </row>
    <row r="27" spans="1:20" x14ac:dyDescent="0.2">
      <c r="A27" s="201" t="s">
        <v>179</v>
      </c>
      <c r="B27" s="202">
        <v>20.8</v>
      </c>
      <c r="C27" s="202">
        <v>0.7</v>
      </c>
      <c r="D27" s="202">
        <v>2.7</v>
      </c>
      <c r="E27" s="203">
        <v>2</v>
      </c>
      <c r="F27" s="246">
        <f t="shared" si="7"/>
        <v>75.8</v>
      </c>
      <c r="G27" s="250"/>
      <c r="H27" s="248">
        <f t="shared" ref="H27:J28" si="11">$G27*B27*80/100</f>
        <v>0</v>
      </c>
      <c r="I27" s="202">
        <f t="shared" si="11"/>
        <v>0</v>
      </c>
      <c r="J27" s="202">
        <f t="shared" si="11"/>
        <v>0</v>
      </c>
      <c r="K27" s="168">
        <f t="shared" si="8"/>
        <v>0</v>
      </c>
      <c r="L27" s="590">
        <f t="shared" si="9"/>
        <v>0</v>
      </c>
      <c r="M27" s="173">
        <f>$G27*F27*80/100</f>
        <v>0</v>
      </c>
      <c r="O27" s="48"/>
      <c r="P27" s="460" t="s">
        <v>61</v>
      </c>
      <c r="Q27" s="52">
        <f>merenda!K90</f>
        <v>20970.407999999999</v>
      </c>
      <c r="R27" s="55">
        <f t="shared" si="10"/>
        <v>5012.053334448</v>
      </c>
      <c r="S27" s="48"/>
      <c r="T27" s="48"/>
    </row>
    <row r="28" spans="1:20" x14ac:dyDescent="0.2">
      <c r="A28" s="201" t="s">
        <v>180</v>
      </c>
      <c r="B28" s="202">
        <v>16</v>
      </c>
      <c r="C28" s="202">
        <v>4.5</v>
      </c>
      <c r="D28" s="202">
        <v>4</v>
      </c>
      <c r="E28" s="203">
        <v>1.9</v>
      </c>
      <c r="F28" s="246">
        <f t="shared" si="7"/>
        <v>75.5</v>
      </c>
      <c r="G28" s="250"/>
      <c r="H28" s="248">
        <f t="shared" si="11"/>
        <v>0</v>
      </c>
      <c r="I28" s="202">
        <f t="shared" si="11"/>
        <v>0</v>
      </c>
      <c r="J28" s="202">
        <f t="shared" si="11"/>
        <v>0</v>
      </c>
      <c r="K28" s="168">
        <f t="shared" si="8"/>
        <v>0</v>
      </c>
      <c r="L28" s="590">
        <f t="shared" si="9"/>
        <v>0</v>
      </c>
      <c r="M28" s="173">
        <f>$G28*F28*80/100</f>
        <v>0</v>
      </c>
      <c r="O28" s="48"/>
      <c r="P28" s="460" t="s">
        <v>62</v>
      </c>
      <c r="Q28" s="52">
        <f>spuntino!$K$84</f>
        <v>11504.668999999998</v>
      </c>
      <c r="R28" s="55">
        <f t="shared" si="10"/>
        <v>2749.6849190139997</v>
      </c>
      <c r="S28" s="48"/>
      <c r="T28" s="48"/>
    </row>
    <row r="29" spans="1:20" x14ac:dyDescent="0.2">
      <c r="A29" s="161" t="s">
        <v>204</v>
      </c>
      <c r="B29" s="204">
        <v>7</v>
      </c>
      <c r="C29" s="204">
        <v>53</v>
      </c>
      <c r="D29" s="204">
        <v>24</v>
      </c>
      <c r="E29" s="203">
        <v>6.9</v>
      </c>
      <c r="F29" s="246">
        <f t="shared" si="7"/>
        <v>16</v>
      </c>
      <c r="G29" s="250"/>
      <c r="H29" s="248">
        <f t="shared" ref="H29:J31" si="12">$G29*B29*30/100</f>
        <v>0</v>
      </c>
      <c r="I29" s="202">
        <f t="shared" si="12"/>
        <v>0</v>
      </c>
      <c r="J29" s="202">
        <f t="shared" si="12"/>
        <v>0</v>
      </c>
      <c r="K29" s="168">
        <f t="shared" si="8"/>
        <v>0</v>
      </c>
      <c r="L29" s="590">
        <f t="shared" si="9"/>
        <v>0</v>
      </c>
      <c r="M29" s="173">
        <f>$G29*F29*30/100</f>
        <v>0</v>
      </c>
      <c r="O29" s="48"/>
      <c r="P29" s="460" t="s">
        <v>63</v>
      </c>
      <c r="Q29" s="52">
        <f>K177</f>
        <v>32347.438599999998</v>
      </c>
      <c r="R29" s="55">
        <f t="shared" si="10"/>
        <v>7731.231910031599</v>
      </c>
      <c r="S29" s="48"/>
      <c r="T29" s="48"/>
    </row>
    <row r="30" spans="1:20" x14ac:dyDescent="0.2">
      <c r="A30" s="161" t="s">
        <v>205</v>
      </c>
      <c r="B30" s="204">
        <v>3.9</v>
      </c>
      <c r="C30" s="204">
        <v>63.7</v>
      </c>
      <c r="D30" s="204">
        <v>15.8</v>
      </c>
      <c r="E30" s="203">
        <v>6.2</v>
      </c>
      <c r="F30" s="246">
        <f t="shared" si="7"/>
        <v>16.599999999999991</v>
      </c>
      <c r="G30" s="250"/>
      <c r="H30" s="248">
        <f t="shared" si="12"/>
        <v>0</v>
      </c>
      <c r="I30" s="202">
        <f t="shared" si="12"/>
        <v>0</v>
      </c>
      <c r="J30" s="202">
        <f t="shared" si="12"/>
        <v>0</v>
      </c>
      <c r="K30" s="168">
        <f t="shared" si="8"/>
        <v>0</v>
      </c>
      <c r="L30" s="590">
        <f t="shared" si="9"/>
        <v>0</v>
      </c>
      <c r="M30" s="173">
        <f>$G30*F30*30/100</f>
        <v>0</v>
      </c>
      <c r="O30" s="48"/>
      <c r="P30" s="49"/>
      <c r="Q30" s="49"/>
      <c r="R30" s="49"/>
      <c r="S30" s="49"/>
      <c r="T30" s="48"/>
    </row>
    <row r="31" spans="1:20" x14ac:dyDescent="0.2">
      <c r="A31" s="161" t="s">
        <v>206</v>
      </c>
      <c r="B31" s="204">
        <v>8.1999999999999993</v>
      </c>
      <c r="C31" s="204">
        <v>55.4</v>
      </c>
      <c r="D31" s="204">
        <v>17.899999999999999</v>
      </c>
      <c r="E31" s="203">
        <v>6.1</v>
      </c>
      <c r="F31" s="246">
        <f t="shared" si="7"/>
        <v>18.5</v>
      </c>
      <c r="G31" s="250"/>
      <c r="H31" s="248">
        <f t="shared" si="12"/>
        <v>0</v>
      </c>
      <c r="I31" s="202">
        <f t="shared" si="12"/>
        <v>0</v>
      </c>
      <c r="J31" s="202">
        <f t="shared" si="12"/>
        <v>0</v>
      </c>
      <c r="K31" s="168">
        <f t="shared" si="8"/>
        <v>0</v>
      </c>
      <c r="L31" s="590">
        <f t="shared" si="9"/>
        <v>0</v>
      </c>
      <c r="M31" s="173">
        <f>$G31*F31*30/100</f>
        <v>0</v>
      </c>
      <c r="O31" s="48"/>
      <c r="P31" s="49"/>
      <c r="Q31" s="49"/>
      <c r="R31" s="49"/>
      <c r="S31" s="49"/>
      <c r="T31" s="48"/>
    </row>
    <row r="32" spans="1:20" x14ac:dyDescent="0.2">
      <c r="A32" s="201" t="s">
        <v>212</v>
      </c>
      <c r="B32" s="225">
        <v>15.5</v>
      </c>
      <c r="C32" s="225">
        <v>8</v>
      </c>
      <c r="D32" s="225">
        <v>6</v>
      </c>
      <c r="E32" s="203">
        <v>3.2</v>
      </c>
      <c r="F32" s="246">
        <f t="shared" si="7"/>
        <v>70.5</v>
      </c>
      <c r="G32" s="250"/>
      <c r="H32" s="248">
        <f t="shared" ref="H32:J33" si="13">$G32*B32*100/100</f>
        <v>0</v>
      </c>
      <c r="I32" s="202">
        <f t="shared" si="13"/>
        <v>0</v>
      </c>
      <c r="J32" s="202">
        <f t="shared" si="13"/>
        <v>0</v>
      </c>
      <c r="K32" s="168">
        <f t="shared" si="8"/>
        <v>0</v>
      </c>
      <c r="L32" s="590">
        <f t="shared" si="9"/>
        <v>0</v>
      </c>
      <c r="M32" s="173">
        <f>$G32*F32*80/100</f>
        <v>0</v>
      </c>
      <c r="O32" s="48"/>
      <c r="P32" s="49"/>
      <c r="Q32" s="49"/>
      <c r="R32" s="49"/>
      <c r="S32" s="49"/>
      <c r="T32" s="48"/>
    </row>
    <row r="33" spans="1:20" x14ac:dyDescent="0.2">
      <c r="A33" s="201" t="s">
        <v>661</v>
      </c>
      <c r="B33" s="225">
        <v>13.5</v>
      </c>
      <c r="C33" s="225">
        <v>8</v>
      </c>
      <c r="D33" s="225">
        <v>6</v>
      </c>
      <c r="E33" s="203">
        <v>5</v>
      </c>
      <c r="F33" s="246">
        <f t="shared" si="7"/>
        <v>72.5</v>
      </c>
      <c r="G33" s="250"/>
      <c r="H33" s="248">
        <f t="shared" si="13"/>
        <v>0</v>
      </c>
      <c r="I33" s="202">
        <f t="shared" si="13"/>
        <v>0</v>
      </c>
      <c r="J33" s="202">
        <f t="shared" si="13"/>
        <v>0</v>
      </c>
      <c r="K33" s="168">
        <f t="shared" si="8"/>
        <v>0</v>
      </c>
      <c r="L33" s="590">
        <f t="shared" si="9"/>
        <v>0</v>
      </c>
      <c r="M33" s="173">
        <f>$G33*F33*80/100</f>
        <v>0</v>
      </c>
      <c r="O33" s="48"/>
      <c r="P33" s="49"/>
      <c r="Q33" s="49"/>
      <c r="R33" s="49"/>
      <c r="S33" s="49"/>
      <c r="T33" s="48"/>
    </row>
    <row r="34" spans="1:20" x14ac:dyDescent="0.2">
      <c r="A34" s="201" t="s">
        <v>211</v>
      </c>
      <c r="B34" s="225">
        <v>22</v>
      </c>
      <c r="C34" s="225">
        <v>7</v>
      </c>
      <c r="D34" s="225">
        <v>5.0999999999999996</v>
      </c>
      <c r="E34" s="203">
        <v>2</v>
      </c>
      <c r="F34" s="246">
        <f t="shared" si="7"/>
        <v>65.900000000000006</v>
      </c>
      <c r="G34" s="250"/>
      <c r="H34" s="248">
        <f>$G34*B34*70/100</f>
        <v>0</v>
      </c>
      <c r="I34" s="202">
        <f>$G34*C34*70/100</f>
        <v>0</v>
      </c>
      <c r="J34" s="202">
        <f>$G34*D34*70/100</f>
        <v>0</v>
      </c>
      <c r="K34" s="168">
        <f t="shared" si="8"/>
        <v>0</v>
      </c>
      <c r="L34" s="590">
        <f t="shared" si="9"/>
        <v>0</v>
      </c>
      <c r="M34" s="173">
        <f>$G34*F34*80/100</f>
        <v>0</v>
      </c>
      <c r="O34" s="48"/>
      <c r="P34" s="49"/>
      <c r="Q34" s="49"/>
      <c r="R34" s="49"/>
      <c r="S34" s="49"/>
      <c r="T34" s="48"/>
    </row>
    <row r="35" spans="1:20" x14ac:dyDescent="0.2">
      <c r="A35" s="201" t="s">
        <v>213</v>
      </c>
      <c r="B35" s="225">
        <v>75</v>
      </c>
      <c r="C35" s="225">
        <v>2.5</v>
      </c>
      <c r="D35" s="225">
        <v>3</v>
      </c>
      <c r="E35" s="203">
        <v>2.5</v>
      </c>
      <c r="F35" s="246">
        <f t="shared" si="7"/>
        <v>19.5</v>
      </c>
      <c r="G35" s="250"/>
      <c r="H35" s="248">
        <f t="shared" ref="H35:J36" si="14">$G35*B35*65/100</f>
        <v>0</v>
      </c>
      <c r="I35" s="202">
        <f t="shared" si="14"/>
        <v>0</v>
      </c>
      <c r="J35" s="202">
        <f t="shared" si="14"/>
        <v>0</v>
      </c>
      <c r="K35" s="168">
        <f t="shared" si="8"/>
        <v>0</v>
      </c>
      <c r="L35" s="590">
        <f t="shared" si="9"/>
        <v>0</v>
      </c>
      <c r="M35" s="173">
        <f>$G35*F35*65/100</f>
        <v>0</v>
      </c>
      <c r="O35" s="48"/>
      <c r="P35" s="49"/>
      <c r="Q35" s="49"/>
      <c r="R35" s="49"/>
      <c r="S35" s="49"/>
      <c r="T35" s="48"/>
    </row>
    <row r="36" spans="1:20" x14ac:dyDescent="0.2">
      <c r="A36" s="287" t="s">
        <v>219</v>
      </c>
      <c r="B36" s="284">
        <v>50.7</v>
      </c>
      <c r="C36" s="284">
        <v>19</v>
      </c>
      <c r="D36" s="284">
        <v>13</v>
      </c>
      <c r="E36" s="288">
        <v>21</v>
      </c>
      <c r="F36" s="296">
        <f t="shared" si="7"/>
        <v>17.299999999999997</v>
      </c>
      <c r="G36" s="250"/>
      <c r="H36" s="283">
        <f t="shared" si="14"/>
        <v>0</v>
      </c>
      <c r="I36" s="284">
        <f t="shared" si="14"/>
        <v>0</v>
      </c>
      <c r="J36" s="284">
        <f t="shared" si="14"/>
        <v>0</v>
      </c>
      <c r="K36" s="285">
        <f t="shared" si="8"/>
        <v>0</v>
      </c>
      <c r="L36" s="590">
        <f t="shared" si="9"/>
        <v>0</v>
      </c>
      <c r="M36" s="289">
        <f>$G36*F36*65/100</f>
        <v>0</v>
      </c>
      <c r="O36" s="48"/>
      <c r="P36" s="49"/>
      <c r="Q36" s="49"/>
      <c r="R36" s="49"/>
      <c r="S36" s="49"/>
      <c r="T36" s="48"/>
    </row>
    <row r="37" spans="1:20" x14ac:dyDescent="0.2">
      <c r="A37" s="161" t="s">
        <v>186</v>
      </c>
      <c r="B37" s="202">
        <v>25</v>
      </c>
      <c r="C37" s="202">
        <v>0.1</v>
      </c>
      <c r="D37" s="202">
        <v>2</v>
      </c>
      <c r="E37" s="203">
        <v>0</v>
      </c>
      <c r="F37" s="246">
        <f t="shared" si="7"/>
        <v>72.900000000000006</v>
      </c>
      <c r="G37" s="623"/>
      <c r="H37" s="248">
        <f t="shared" ref="H37:J40" si="15">$G37*B37*250/100</f>
        <v>0</v>
      </c>
      <c r="I37" s="202">
        <f t="shared" si="15"/>
        <v>0</v>
      </c>
      <c r="J37" s="202">
        <f t="shared" si="15"/>
        <v>0</v>
      </c>
      <c r="K37" s="168">
        <f t="shared" si="8"/>
        <v>0</v>
      </c>
      <c r="L37" s="590">
        <f t="shared" si="9"/>
        <v>0</v>
      </c>
      <c r="M37" s="173">
        <f>$G37*F37*250/100</f>
        <v>0</v>
      </c>
      <c r="O37" s="48"/>
      <c r="P37" s="49"/>
      <c r="Q37" s="49"/>
      <c r="R37" s="49"/>
      <c r="S37" s="49"/>
      <c r="T37" s="48"/>
    </row>
    <row r="38" spans="1:20" x14ac:dyDescent="0.2">
      <c r="A38" s="161" t="s">
        <v>187</v>
      </c>
      <c r="B38" s="202">
        <v>23</v>
      </c>
      <c r="C38" s="202">
        <v>3.8</v>
      </c>
      <c r="D38" s="202">
        <v>1.7</v>
      </c>
      <c r="E38" s="203">
        <v>0</v>
      </c>
      <c r="F38" s="246">
        <f t="shared" si="7"/>
        <v>71.5</v>
      </c>
      <c r="G38" s="250">
        <v>2</v>
      </c>
      <c r="H38" s="248">
        <f t="shared" si="15"/>
        <v>115</v>
      </c>
      <c r="I38" s="202">
        <f t="shared" si="15"/>
        <v>19</v>
      </c>
      <c r="J38" s="202">
        <f t="shared" si="15"/>
        <v>8.5</v>
      </c>
      <c r="K38" s="168">
        <f t="shared" si="8"/>
        <v>2776.85</v>
      </c>
      <c r="L38" s="590">
        <f t="shared" si="9"/>
        <v>0</v>
      </c>
      <c r="M38" s="173">
        <f>$G38*F38*250/100</f>
        <v>357.5</v>
      </c>
      <c r="O38" s="48"/>
      <c r="P38" s="49"/>
      <c r="Q38" s="49"/>
      <c r="R38" s="49"/>
      <c r="S38" s="49"/>
      <c r="T38" s="48"/>
    </row>
    <row r="39" spans="1:20" x14ac:dyDescent="0.2">
      <c r="A39" s="161" t="s">
        <v>192</v>
      </c>
      <c r="B39" s="202">
        <v>16.100000000000001</v>
      </c>
      <c r="C39" s="202">
        <v>11.5</v>
      </c>
      <c r="D39" s="202">
        <v>5.9</v>
      </c>
      <c r="E39" s="203">
        <v>1.2</v>
      </c>
      <c r="F39" s="246">
        <f t="shared" si="7"/>
        <v>66.5</v>
      </c>
      <c r="G39" s="250"/>
      <c r="H39" s="248">
        <f>$G39*B39*50/100</f>
        <v>0</v>
      </c>
      <c r="I39" s="202">
        <f>$G39*C39*50/100</f>
        <v>0</v>
      </c>
      <c r="J39" s="202">
        <f t="shared" si="15"/>
        <v>0</v>
      </c>
      <c r="K39" s="168">
        <f t="shared" si="8"/>
        <v>0</v>
      </c>
      <c r="L39" s="590">
        <f t="shared" si="9"/>
        <v>0</v>
      </c>
      <c r="M39" s="173">
        <f>$G39*F39*250/100</f>
        <v>0</v>
      </c>
      <c r="O39" s="48"/>
      <c r="P39" s="49"/>
      <c r="Q39" s="49"/>
      <c r="R39" s="49"/>
      <c r="S39" s="49"/>
      <c r="T39" s="48"/>
    </row>
    <row r="40" spans="1:20" x14ac:dyDescent="0.2">
      <c r="A40" s="161" t="s">
        <v>356</v>
      </c>
      <c r="B40" s="202">
        <v>30</v>
      </c>
      <c r="C40" s="202">
        <v>0.5</v>
      </c>
      <c r="D40" s="202">
        <v>5</v>
      </c>
      <c r="E40" s="203">
        <v>1.3</v>
      </c>
      <c r="F40" s="246">
        <f t="shared" si="7"/>
        <v>64.5</v>
      </c>
      <c r="G40" s="250"/>
      <c r="H40" s="248">
        <f>$G40*B40*50/100</f>
        <v>0</v>
      </c>
      <c r="I40" s="202">
        <f t="shared" si="15"/>
        <v>0</v>
      </c>
      <c r="J40" s="202">
        <f>$G40*D40*50/100</f>
        <v>0</v>
      </c>
      <c r="K40" s="168">
        <f t="shared" si="8"/>
        <v>0</v>
      </c>
      <c r="L40" s="590">
        <f t="shared" si="9"/>
        <v>0</v>
      </c>
      <c r="M40" s="173">
        <f>$G40*F40*50/100</f>
        <v>0</v>
      </c>
      <c r="O40" s="48"/>
      <c r="P40" s="49"/>
      <c r="Q40" s="49"/>
      <c r="R40" s="49"/>
      <c r="S40" s="49"/>
      <c r="T40" s="48"/>
    </row>
    <row r="41" spans="1:20" x14ac:dyDescent="0.2">
      <c r="A41" s="161" t="s">
        <v>196</v>
      </c>
      <c r="B41" s="202">
        <v>40.799999999999997</v>
      </c>
      <c r="C41" s="202">
        <v>1.4</v>
      </c>
      <c r="D41" s="202">
        <v>4.4000000000000004</v>
      </c>
      <c r="E41" s="203">
        <v>1.3</v>
      </c>
      <c r="F41" s="246">
        <f t="shared" si="7"/>
        <v>53.400000000000006</v>
      </c>
      <c r="G41" s="250"/>
      <c r="H41" s="248">
        <f>$G41*B41*200/100</f>
        <v>0</v>
      </c>
      <c r="I41" s="202">
        <f>$G41*C41*200/100</f>
        <v>0</v>
      </c>
      <c r="J41" s="202">
        <f>$G41*D41*200/100</f>
        <v>0</v>
      </c>
      <c r="K41" s="168">
        <f t="shared" si="8"/>
        <v>0</v>
      </c>
      <c r="L41" s="590">
        <f t="shared" si="9"/>
        <v>0</v>
      </c>
      <c r="M41" s="173">
        <f>$G41*F41*250/100</f>
        <v>0</v>
      </c>
      <c r="O41" s="48"/>
      <c r="P41" s="49"/>
      <c r="Q41" s="49"/>
      <c r="R41" s="49"/>
      <c r="S41" s="49"/>
      <c r="T41" s="48"/>
    </row>
    <row r="42" spans="1:20" x14ac:dyDescent="0.2">
      <c r="A42" s="161" t="s">
        <v>185</v>
      </c>
      <c r="B42" s="204">
        <v>14</v>
      </c>
      <c r="C42" s="204">
        <v>0.1</v>
      </c>
      <c r="D42" s="204">
        <v>2</v>
      </c>
      <c r="E42" s="203">
        <v>2</v>
      </c>
      <c r="F42" s="246">
        <f t="shared" si="7"/>
        <v>83.9</v>
      </c>
      <c r="G42" s="250"/>
      <c r="H42" s="248">
        <f t="shared" ref="H42:J43" si="16">$G42*B42*200/100</f>
        <v>0</v>
      </c>
      <c r="I42" s="202">
        <f t="shared" si="16"/>
        <v>0</v>
      </c>
      <c r="J42" s="202">
        <f t="shared" si="16"/>
        <v>0</v>
      </c>
      <c r="K42" s="168">
        <f t="shared" si="8"/>
        <v>0</v>
      </c>
      <c r="L42" s="590">
        <f t="shared" si="9"/>
        <v>0</v>
      </c>
      <c r="M42" s="173">
        <f>$G42*F42*200/100</f>
        <v>0</v>
      </c>
      <c r="O42" s="48"/>
      <c r="P42" s="49"/>
      <c r="Q42" s="49"/>
      <c r="R42" s="49"/>
      <c r="S42" s="49"/>
      <c r="T42" s="48"/>
    </row>
    <row r="43" spans="1:20" x14ac:dyDescent="0.2">
      <c r="A43" s="161" t="s">
        <v>184</v>
      </c>
      <c r="B43" s="204">
        <v>12</v>
      </c>
      <c r="C43" s="204">
        <v>5</v>
      </c>
      <c r="D43" s="204">
        <v>1.5</v>
      </c>
      <c r="E43" s="203">
        <v>2</v>
      </c>
      <c r="F43" s="246">
        <f t="shared" si="7"/>
        <v>81.5</v>
      </c>
      <c r="G43" s="250"/>
      <c r="H43" s="248">
        <f t="shared" si="16"/>
        <v>0</v>
      </c>
      <c r="I43" s="202">
        <f t="shared" si="16"/>
        <v>0</v>
      </c>
      <c r="J43" s="202">
        <f t="shared" si="16"/>
        <v>0</v>
      </c>
      <c r="K43" s="168">
        <f t="shared" si="8"/>
        <v>0</v>
      </c>
      <c r="L43" s="590">
        <f t="shared" si="9"/>
        <v>0</v>
      </c>
      <c r="M43" s="173">
        <f>$G43*F43*200/100</f>
        <v>0</v>
      </c>
      <c r="O43" s="48"/>
      <c r="P43" s="48"/>
      <c r="Q43" s="48"/>
      <c r="R43" s="48"/>
      <c r="S43" s="48"/>
      <c r="T43" s="48"/>
    </row>
    <row r="44" spans="1:20" ht="13.5" thickBot="1" x14ac:dyDescent="0.25">
      <c r="A44" s="226" t="s">
        <v>183</v>
      </c>
      <c r="B44" s="227">
        <v>36.299999999999997</v>
      </c>
      <c r="C44" s="227">
        <v>17.2</v>
      </c>
      <c r="D44" s="227">
        <v>4.4000000000000004</v>
      </c>
      <c r="E44" s="228">
        <v>1.6</v>
      </c>
      <c r="F44" s="252">
        <v>42.1</v>
      </c>
      <c r="G44" s="251">
        <v>2</v>
      </c>
      <c r="H44" s="254">
        <f>$G44*B44*250/100</f>
        <v>181.5</v>
      </c>
      <c r="I44" s="229">
        <f>$G44*C44*250/100</f>
        <v>86</v>
      </c>
      <c r="J44" s="229">
        <f>$G44*D44*250/100</f>
        <v>22</v>
      </c>
      <c r="K44" s="230">
        <f t="shared" si="8"/>
        <v>6632.0499999999993</v>
      </c>
      <c r="L44" s="590">
        <f t="shared" si="9"/>
        <v>3.2</v>
      </c>
      <c r="M44" s="176">
        <f>$G44*F44*250/100</f>
        <v>210.5</v>
      </c>
    </row>
    <row r="45" spans="1:20" ht="18" customHeight="1" thickBot="1" x14ac:dyDescent="0.25">
      <c r="A45" s="304" t="s">
        <v>315</v>
      </c>
      <c r="B45" s="305"/>
      <c r="C45" s="305"/>
      <c r="D45" s="305"/>
      <c r="E45" s="306"/>
      <c r="F45" s="305"/>
      <c r="G45" s="307"/>
      <c r="H45" s="305"/>
      <c r="I45" s="305"/>
      <c r="J45" s="305"/>
      <c r="K45" s="305"/>
      <c r="L45" s="305"/>
      <c r="M45" s="303"/>
    </row>
    <row r="46" spans="1:20" x14ac:dyDescent="0.2">
      <c r="A46" s="224" t="s">
        <v>329</v>
      </c>
      <c r="B46" s="231">
        <v>25</v>
      </c>
      <c r="C46" s="231">
        <v>0.1</v>
      </c>
      <c r="D46" s="231">
        <v>0.5</v>
      </c>
      <c r="E46" s="199">
        <v>1</v>
      </c>
      <c r="F46" s="245">
        <f>100-B46-C46-D46</f>
        <v>74.400000000000006</v>
      </c>
      <c r="G46" s="249"/>
      <c r="H46" s="247">
        <f>$G46*B46*150/100</f>
        <v>0</v>
      </c>
      <c r="I46" s="198">
        <f>$G46*C46*150/100</f>
        <v>0</v>
      </c>
      <c r="J46" s="198">
        <f>$G46*D46*150/100</f>
        <v>0</v>
      </c>
      <c r="K46" s="200">
        <f t="shared" ref="K46:K90" si="17">H46*16.7+I46*37.6+J46*16.7</f>
        <v>0</v>
      </c>
      <c r="L46" s="170">
        <f t="shared" si="9"/>
        <v>0</v>
      </c>
      <c r="M46" s="170">
        <f>$G46*F46*150/100</f>
        <v>0</v>
      </c>
    </row>
    <row r="47" spans="1:20" x14ac:dyDescent="0.2">
      <c r="A47" s="201" t="s">
        <v>181</v>
      </c>
      <c r="B47" s="204">
        <v>75</v>
      </c>
      <c r="C47" s="204">
        <v>0.6</v>
      </c>
      <c r="D47" s="204">
        <v>2.2000000000000002</v>
      </c>
      <c r="E47" s="203">
        <v>1.6</v>
      </c>
      <c r="F47" s="246">
        <f t="shared" ref="F47:F49" si="18">100-B47-C47-D47</f>
        <v>22.2</v>
      </c>
      <c r="G47" s="250"/>
      <c r="H47" s="248">
        <f>$G47*B47*15/100</f>
        <v>0</v>
      </c>
      <c r="I47" s="202">
        <f>$G47*C47*15/100</f>
        <v>0</v>
      </c>
      <c r="J47" s="202">
        <f>$G47*D47*15/100</f>
        <v>0</v>
      </c>
      <c r="K47" s="168">
        <f t="shared" si="17"/>
        <v>0</v>
      </c>
      <c r="L47" s="170">
        <f t="shared" si="9"/>
        <v>0</v>
      </c>
      <c r="M47" s="173">
        <f>$G47*F47*15/100</f>
        <v>0</v>
      </c>
    </row>
    <row r="48" spans="1:20" x14ac:dyDescent="0.2">
      <c r="A48" s="201" t="s">
        <v>320</v>
      </c>
      <c r="B48" s="225">
        <v>62</v>
      </c>
      <c r="C48" s="225">
        <v>1</v>
      </c>
      <c r="D48" s="225">
        <v>4.3</v>
      </c>
      <c r="E48" s="203">
        <v>2</v>
      </c>
      <c r="F48" s="246">
        <f t="shared" si="18"/>
        <v>32.700000000000003</v>
      </c>
      <c r="G48" s="250"/>
      <c r="H48" s="248">
        <f t="shared" ref="H48:J49" si="19">$G48*B48*40/100</f>
        <v>0</v>
      </c>
      <c r="I48" s="202">
        <f t="shared" si="19"/>
        <v>0</v>
      </c>
      <c r="J48" s="202">
        <f t="shared" si="19"/>
        <v>0</v>
      </c>
      <c r="K48" s="168">
        <f t="shared" si="17"/>
        <v>0</v>
      </c>
      <c r="L48" s="170">
        <f t="shared" si="9"/>
        <v>0</v>
      </c>
      <c r="M48" s="173">
        <f>$G48*F48*40/100</f>
        <v>0</v>
      </c>
    </row>
    <row r="49" spans="1:13" x14ac:dyDescent="0.2">
      <c r="A49" s="201" t="s">
        <v>119</v>
      </c>
      <c r="B49" s="225">
        <v>65</v>
      </c>
      <c r="C49" s="225">
        <v>0.5</v>
      </c>
      <c r="D49" s="225">
        <v>5</v>
      </c>
      <c r="E49" s="203">
        <v>2</v>
      </c>
      <c r="F49" s="246">
        <f t="shared" si="18"/>
        <v>29.5</v>
      </c>
      <c r="G49" s="250"/>
      <c r="H49" s="248">
        <f t="shared" si="19"/>
        <v>0</v>
      </c>
      <c r="I49" s="202">
        <f t="shared" si="19"/>
        <v>0</v>
      </c>
      <c r="J49" s="202">
        <f t="shared" si="19"/>
        <v>0</v>
      </c>
      <c r="K49" s="168">
        <f t="shared" si="17"/>
        <v>0</v>
      </c>
      <c r="L49" s="170">
        <f t="shared" si="9"/>
        <v>0</v>
      </c>
      <c r="M49" s="173">
        <f>$G49*F49*40/100</f>
        <v>0</v>
      </c>
    </row>
    <row r="50" spans="1:13" x14ac:dyDescent="0.2">
      <c r="A50" s="161" t="s">
        <v>188</v>
      </c>
      <c r="B50" s="225">
        <v>21.5</v>
      </c>
      <c r="C50" s="225">
        <v>0.2</v>
      </c>
      <c r="D50" s="225">
        <v>0.5</v>
      </c>
      <c r="E50" s="203">
        <v>1.3</v>
      </c>
      <c r="F50" s="246">
        <f>100-B50-C50-D50</f>
        <v>77.8</v>
      </c>
      <c r="G50" s="250"/>
      <c r="H50" s="248">
        <f>$G50*B50*120/100</f>
        <v>0</v>
      </c>
      <c r="I50" s="202">
        <f>$G50*C50*120/100</f>
        <v>0</v>
      </c>
      <c r="J50" s="202">
        <f>$G50*D50*120/100</f>
        <v>0</v>
      </c>
      <c r="K50" s="168">
        <f t="shared" si="17"/>
        <v>0</v>
      </c>
      <c r="L50" s="170">
        <f t="shared" si="9"/>
        <v>0</v>
      </c>
      <c r="M50" s="173">
        <f>$G50*F50*120/100</f>
        <v>0</v>
      </c>
    </row>
    <row r="51" spans="1:13" x14ac:dyDescent="0.2">
      <c r="A51" s="161" t="s">
        <v>189</v>
      </c>
      <c r="B51" s="202">
        <v>11.2</v>
      </c>
      <c r="C51" s="202">
        <v>0.2</v>
      </c>
      <c r="D51" s="202">
        <v>0.8</v>
      </c>
      <c r="E51" s="203">
        <v>1.6</v>
      </c>
      <c r="F51" s="246">
        <v>70</v>
      </c>
      <c r="G51" s="250"/>
      <c r="H51" s="248">
        <f>$G51*B51*60/100</f>
        <v>0</v>
      </c>
      <c r="I51" s="202">
        <f>$G51*C51*60/100</f>
        <v>0</v>
      </c>
      <c r="J51" s="202">
        <f>$G51*D51*60/100</f>
        <v>0</v>
      </c>
      <c r="K51" s="168">
        <f t="shared" si="17"/>
        <v>0</v>
      </c>
      <c r="L51" s="170">
        <f t="shared" si="9"/>
        <v>0</v>
      </c>
      <c r="M51" s="173">
        <f>$G51*F51*60/100</f>
        <v>0</v>
      </c>
    </row>
    <row r="52" spans="1:13" x14ac:dyDescent="0.2">
      <c r="A52" s="161" t="s">
        <v>249</v>
      </c>
      <c r="B52" s="225">
        <v>11.9</v>
      </c>
      <c r="C52" s="225">
        <v>0.2</v>
      </c>
      <c r="D52" s="225">
        <v>0.4</v>
      </c>
      <c r="E52" s="203">
        <v>1.5</v>
      </c>
      <c r="F52" s="246">
        <f t="shared" ref="F52:F63" si="20">100-B52-C52-D52</f>
        <v>87.499999999999986</v>
      </c>
      <c r="G52" s="250"/>
      <c r="H52" s="248">
        <f>$G52*B52*120/100</f>
        <v>0</v>
      </c>
      <c r="I52" s="202">
        <f>$G52*C52*120/100</f>
        <v>0</v>
      </c>
      <c r="J52" s="202">
        <f>$G52*D52*120/100</f>
        <v>0</v>
      </c>
      <c r="K52" s="168">
        <f t="shared" si="17"/>
        <v>0</v>
      </c>
      <c r="L52" s="170">
        <f t="shared" si="9"/>
        <v>0</v>
      </c>
      <c r="M52" s="173">
        <f>$G52*F52*120/100</f>
        <v>0</v>
      </c>
    </row>
    <row r="53" spans="1:13" x14ac:dyDescent="0.2">
      <c r="A53" s="201" t="s">
        <v>11</v>
      </c>
      <c r="B53" s="163">
        <v>20</v>
      </c>
      <c r="C53" s="163">
        <v>0.5</v>
      </c>
      <c r="D53" s="163">
        <v>1.4</v>
      </c>
      <c r="E53" s="163">
        <v>1.6</v>
      </c>
      <c r="F53" s="174">
        <f t="shared" si="20"/>
        <v>78.099999999999994</v>
      </c>
      <c r="G53" s="131">
        <v>1</v>
      </c>
      <c r="H53" s="166">
        <f t="shared" ref="H53:J54" si="21">$G53*B53*150/100</f>
        <v>30</v>
      </c>
      <c r="I53" s="167">
        <f t="shared" si="21"/>
        <v>0.75</v>
      </c>
      <c r="J53" s="167">
        <f t="shared" si="21"/>
        <v>2.1</v>
      </c>
      <c r="K53" s="168">
        <f t="shared" si="17"/>
        <v>564.2700000000001</v>
      </c>
      <c r="L53" s="170">
        <f t="shared" si="9"/>
        <v>1.6</v>
      </c>
      <c r="M53" s="173">
        <f>$G53*F53*150/100</f>
        <v>117.15</v>
      </c>
    </row>
    <row r="54" spans="1:13" x14ac:dyDescent="0.2">
      <c r="A54" s="161" t="s">
        <v>321</v>
      </c>
      <c r="B54" s="225">
        <v>15</v>
      </c>
      <c r="C54" s="225">
        <v>0.4</v>
      </c>
      <c r="D54" s="225">
        <v>1.1000000000000001</v>
      </c>
      <c r="E54" s="163">
        <v>1.6</v>
      </c>
      <c r="F54" s="246">
        <f t="shared" si="20"/>
        <v>83.5</v>
      </c>
      <c r="G54" s="250"/>
      <c r="H54" s="248">
        <f t="shared" si="21"/>
        <v>0</v>
      </c>
      <c r="I54" s="202">
        <f t="shared" si="21"/>
        <v>0</v>
      </c>
      <c r="J54" s="202">
        <f t="shared" si="21"/>
        <v>0</v>
      </c>
      <c r="K54" s="168">
        <f t="shared" si="17"/>
        <v>0</v>
      </c>
      <c r="L54" s="170">
        <f t="shared" si="9"/>
        <v>0</v>
      </c>
      <c r="M54" s="173">
        <f>$G54*F54*150/100</f>
        <v>0</v>
      </c>
    </row>
    <row r="55" spans="1:13" x14ac:dyDescent="0.2">
      <c r="A55" s="161" t="s">
        <v>250</v>
      </c>
      <c r="B55" s="225">
        <v>9.4</v>
      </c>
      <c r="C55" s="225">
        <v>0.2</v>
      </c>
      <c r="D55" s="225">
        <v>0.5</v>
      </c>
      <c r="E55" s="163">
        <v>1.7</v>
      </c>
      <c r="F55" s="246">
        <f t="shared" si="20"/>
        <v>89.899999999999991</v>
      </c>
      <c r="G55" s="250"/>
      <c r="H55" s="248">
        <f>$G55*B55*70/100</f>
        <v>0</v>
      </c>
      <c r="I55" s="202">
        <f>$G55*C55*70/100</f>
        <v>0</v>
      </c>
      <c r="J55" s="202">
        <f>$G55*D55*70/100</f>
        <v>0</v>
      </c>
      <c r="K55" s="168">
        <f t="shared" si="17"/>
        <v>0</v>
      </c>
      <c r="L55" s="170">
        <f t="shared" si="9"/>
        <v>0</v>
      </c>
      <c r="M55" s="173">
        <f>$G55*F55*70/100</f>
        <v>0</v>
      </c>
    </row>
    <row r="56" spans="1:13" x14ac:dyDescent="0.2">
      <c r="A56" s="201" t="s">
        <v>251</v>
      </c>
      <c r="B56" s="225">
        <v>19.2</v>
      </c>
      <c r="C56" s="225">
        <v>0.4</v>
      </c>
      <c r="D56" s="225">
        <v>0.8</v>
      </c>
      <c r="E56" s="163">
        <v>1.7</v>
      </c>
      <c r="F56" s="246">
        <f t="shared" si="20"/>
        <v>79.599999999999994</v>
      </c>
      <c r="G56" s="250"/>
      <c r="H56" s="248">
        <f>$G56*B56*40/100</f>
        <v>0</v>
      </c>
      <c r="I56" s="202">
        <f>$G56*C56*200/40</f>
        <v>0</v>
      </c>
      <c r="J56" s="202">
        <f>$G56*D56*200/40</f>
        <v>0</v>
      </c>
      <c r="K56" s="168">
        <f t="shared" si="17"/>
        <v>0</v>
      </c>
      <c r="L56" s="170">
        <f t="shared" si="9"/>
        <v>0</v>
      </c>
      <c r="M56" s="173">
        <f>$G56*F56*200/40</f>
        <v>0</v>
      </c>
    </row>
    <row r="57" spans="1:13" x14ac:dyDescent="0.2">
      <c r="A57" s="201" t="s">
        <v>322</v>
      </c>
      <c r="B57" s="163">
        <v>7.5</v>
      </c>
      <c r="C57" s="163">
        <v>0.6</v>
      </c>
      <c r="D57" s="163">
        <v>0.7</v>
      </c>
      <c r="E57" s="163">
        <v>1.3</v>
      </c>
      <c r="F57" s="174">
        <f t="shared" si="20"/>
        <v>91.2</v>
      </c>
      <c r="G57" s="131">
        <v>1</v>
      </c>
      <c r="H57" s="166">
        <f>$G57*B57*120/100</f>
        <v>9</v>
      </c>
      <c r="I57" s="167">
        <f>$G57*C57*120/100</f>
        <v>0.72</v>
      </c>
      <c r="J57" s="167">
        <f>$G57*D57*120/100</f>
        <v>0.84</v>
      </c>
      <c r="K57" s="168">
        <f t="shared" si="17"/>
        <v>191.39999999999998</v>
      </c>
      <c r="L57" s="170">
        <f t="shared" si="9"/>
        <v>1.3</v>
      </c>
      <c r="M57" s="173">
        <f>$G57*F57*120/100</f>
        <v>109.44</v>
      </c>
    </row>
    <row r="58" spans="1:13" x14ac:dyDescent="0.2">
      <c r="A58" s="201" t="s">
        <v>13</v>
      </c>
      <c r="B58" s="225">
        <v>11</v>
      </c>
      <c r="C58" s="225">
        <v>0.3</v>
      </c>
      <c r="D58" s="225">
        <v>0.7</v>
      </c>
      <c r="E58" s="163">
        <v>1.3</v>
      </c>
      <c r="F58" s="246">
        <f t="shared" si="20"/>
        <v>88</v>
      </c>
      <c r="G58" s="250"/>
      <c r="H58" s="248">
        <f>$G58*B58*70/100</f>
        <v>0</v>
      </c>
      <c r="I58" s="202">
        <f>$G58*C58*70/100</f>
        <v>0</v>
      </c>
      <c r="J58" s="202">
        <f>$G58*D58*70/100</f>
        <v>0</v>
      </c>
      <c r="K58" s="168">
        <f t="shared" si="17"/>
        <v>0</v>
      </c>
      <c r="L58" s="170">
        <f t="shared" si="9"/>
        <v>0</v>
      </c>
      <c r="M58" s="173">
        <f>$G58*F58*70/100</f>
        <v>0</v>
      </c>
    </row>
    <row r="59" spans="1:13" x14ac:dyDescent="0.2">
      <c r="A59" s="201" t="s">
        <v>324</v>
      </c>
      <c r="B59" s="225">
        <v>15.5</v>
      </c>
      <c r="C59" s="225">
        <v>0.5</v>
      </c>
      <c r="D59" s="225">
        <v>1</v>
      </c>
      <c r="E59" s="163">
        <v>1.3</v>
      </c>
      <c r="F59" s="246">
        <f t="shared" si="20"/>
        <v>83</v>
      </c>
      <c r="G59" s="250"/>
      <c r="H59" s="248">
        <f>$G59*B59*100/100</f>
        <v>0</v>
      </c>
      <c r="I59" s="202">
        <f>$G59*C59*100/100</f>
        <v>0</v>
      </c>
      <c r="J59" s="202">
        <f>$G59*D59*100/100</f>
        <v>0</v>
      </c>
      <c r="K59" s="168">
        <f t="shared" si="17"/>
        <v>0</v>
      </c>
      <c r="L59" s="170">
        <f t="shared" si="9"/>
        <v>0</v>
      </c>
      <c r="M59" s="173">
        <f>$G59*F59*100/100</f>
        <v>0</v>
      </c>
    </row>
    <row r="60" spans="1:13" x14ac:dyDescent="0.2">
      <c r="A60" s="201" t="s">
        <v>287</v>
      </c>
      <c r="B60" s="225">
        <v>13</v>
      </c>
      <c r="C60" s="225">
        <v>0.4</v>
      </c>
      <c r="D60" s="225">
        <v>1</v>
      </c>
      <c r="E60" s="163">
        <v>2</v>
      </c>
      <c r="F60" s="246">
        <f t="shared" si="20"/>
        <v>85.6</v>
      </c>
      <c r="G60" s="250"/>
      <c r="H60" s="248">
        <f>$G60*B60*200/100</f>
        <v>0</v>
      </c>
      <c r="I60" s="202">
        <f>$G60*C60*200/100</f>
        <v>0</v>
      </c>
      <c r="J60" s="202">
        <f>$G60*D60*200/100</f>
        <v>0</v>
      </c>
      <c r="K60" s="168">
        <f t="shared" si="17"/>
        <v>0</v>
      </c>
      <c r="L60" s="170">
        <f t="shared" si="9"/>
        <v>0</v>
      </c>
      <c r="M60" s="173">
        <f>$G60*F60*200/100</f>
        <v>0</v>
      </c>
    </row>
    <row r="61" spans="1:13" x14ac:dyDescent="0.2">
      <c r="A61" s="201" t="s">
        <v>288</v>
      </c>
      <c r="B61" s="163">
        <v>9</v>
      </c>
      <c r="C61" s="163">
        <v>0.2</v>
      </c>
      <c r="D61" s="163">
        <v>0.7</v>
      </c>
      <c r="E61" s="163">
        <v>2</v>
      </c>
      <c r="F61" s="174">
        <f t="shared" si="20"/>
        <v>90.1</v>
      </c>
      <c r="G61" s="131"/>
      <c r="H61" s="166">
        <f>$G61*B61*170/100</f>
        <v>0</v>
      </c>
      <c r="I61" s="167">
        <f>$G61*C61*170/100</f>
        <v>0</v>
      </c>
      <c r="J61" s="167">
        <f>$G61*D61*170/100</f>
        <v>0</v>
      </c>
      <c r="K61" s="168">
        <f t="shared" si="17"/>
        <v>0</v>
      </c>
      <c r="L61" s="170">
        <f t="shared" si="9"/>
        <v>0</v>
      </c>
      <c r="M61" s="173">
        <f>$G61*F61*170/100</f>
        <v>0</v>
      </c>
    </row>
    <row r="62" spans="1:13" x14ac:dyDescent="0.2">
      <c r="A62" s="201" t="s">
        <v>289</v>
      </c>
      <c r="B62" s="225">
        <v>9</v>
      </c>
      <c r="C62" s="225">
        <v>0.2</v>
      </c>
      <c r="D62" s="225">
        <v>0.6</v>
      </c>
      <c r="E62" s="203">
        <v>2</v>
      </c>
      <c r="F62" s="246">
        <f t="shared" si="20"/>
        <v>90.2</v>
      </c>
      <c r="G62" s="250"/>
      <c r="H62" s="248">
        <f>$G62*B62*140/100</f>
        <v>0</v>
      </c>
      <c r="I62" s="202">
        <f>$G62*C62*140/100</f>
        <v>0</v>
      </c>
      <c r="J62" s="202">
        <f>$G62*D62*140/100</f>
        <v>0</v>
      </c>
      <c r="K62" s="168">
        <f t="shared" si="17"/>
        <v>0</v>
      </c>
      <c r="L62" s="170">
        <f t="shared" si="9"/>
        <v>0</v>
      </c>
      <c r="M62" s="173">
        <f>$G62*F62*140/100</f>
        <v>0</v>
      </c>
    </row>
    <row r="63" spans="1:13" x14ac:dyDescent="0.2">
      <c r="A63" s="201" t="s">
        <v>290</v>
      </c>
      <c r="B63" s="163">
        <v>11</v>
      </c>
      <c r="C63" s="163">
        <v>0</v>
      </c>
      <c r="D63" s="163">
        <v>0.5</v>
      </c>
      <c r="E63" s="163">
        <v>1.6</v>
      </c>
      <c r="F63" s="174">
        <f t="shared" si="20"/>
        <v>88.5</v>
      </c>
      <c r="G63" s="131"/>
      <c r="H63" s="166">
        <f>$G63*B63*150/100</f>
        <v>0</v>
      </c>
      <c r="I63" s="167">
        <f>$G63*C63*150/100</f>
        <v>0</v>
      </c>
      <c r="J63" s="167">
        <f>$G63*D63*150/100</f>
        <v>0</v>
      </c>
      <c r="K63" s="168">
        <f t="shared" si="17"/>
        <v>0</v>
      </c>
      <c r="L63" s="170">
        <f t="shared" si="9"/>
        <v>0</v>
      </c>
      <c r="M63" s="173">
        <f>$G63*F63*150/100</f>
        <v>0</v>
      </c>
    </row>
    <row r="64" spans="1:13" x14ac:dyDescent="0.2">
      <c r="A64" s="201" t="s">
        <v>291</v>
      </c>
      <c r="B64" s="173">
        <v>15.8</v>
      </c>
      <c r="C64" s="173">
        <v>0.48</v>
      </c>
      <c r="D64" s="173">
        <v>0.7</v>
      </c>
      <c r="E64" s="163">
        <v>1.6</v>
      </c>
      <c r="F64" s="174">
        <v>83</v>
      </c>
      <c r="G64" s="131"/>
      <c r="H64" s="166">
        <f>$G64*B64*180/100</f>
        <v>0</v>
      </c>
      <c r="I64" s="167">
        <f>$G64*C64*180/100</f>
        <v>0</v>
      </c>
      <c r="J64" s="167">
        <f>$G64*D64*180/100</f>
        <v>0</v>
      </c>
      <c r="K64" s="168">
        <f t="shared" si="17"/>
        <v>0</v>
      </c>
      <c r="L64" s="170">
        <f t="shared" si="9"/>
        <v>0</v>
      </c>
      <c r="M64" s="173">
        <f>$G64*F64*180/100</f>
        <v>0</v>
      </c>
    </row>
    <row r="65" spans="1:13" x14ac:dyDescent="0.2">
      <c r="A65" s="201" t="s">
        <v>292</v>
      </c>
      <c r="B65" s="163">
        <v>12</v>
      </c>
      <c r="C65" s="163">
        <v>0.35</v>
      </c>
      <c r="D65" s="163">
        <v>0.3</v>
      </c>
      <c r="E65" s="163">
        <v>1.6</v>
      </c>
      <c r="F65" s="174">
        <f>100-B65-C65-D65</f>
        <v>87.350000000000009</v>
      </c>
      <c r="G65" s="131"/>
      <c r="H65" s="166">
        <f>$G65*B65*160/100</f>
        <v>0</v>
      </c>
      <c r="I65" s="167">
        <f>$G65*C65*160/100</f>
        <v>0</v>
      </c>
      <c r="J65" s="167">
        <f>$G65*D65*160/100</f>
        <v>0</v>
      </c>
      <c r="K65" s="168">
        <f t="shared" si="17"/>
        <v>0</v>
      </c>
      <c r="L65" s="170">
        <f t="shared" si="9"/>
        <v>0</v>
      </c>
      <c r="M65" s="173">
        <f>$G65*F65*160/100</f>
        <v>0</v>
      </c>
    </row>
    <row r="66" spans="1:13" x14ac:dyDescent="0.2">
      <c r="A66" s="201" t="s">
        <v>293</v>
      </c>
      <c r="B66" s="225">
        <v>16</v>
      </c>
      <c r="C66" s="225">
        <v>0.7</v>
      </c>
      <c r="D66" s="225">
        <v>0.9</v>
      </c>
      <c r="E66" s="163">
        <v>1.6</v>
      </c>
      <c r="F66" s="246">
        <f>100-B66-C66-D66</f>
        <v>82.399999999999991</v>
      </c>
      <c r="G66" s="250">
        <v>1</v>
      </c>
      <c r="H66" s="248">
        <f>$G66*B66*80/100</f>
        <v>12.8</v>
      </c>
      <c r="I66" s="202">
        <f>$G66*C66*80/100</f>
        <v>0.56000000000000005</v>
      </c>
      <c r="J66" s="202">
        <f>$G66*D66*80/100</f>
        <v>0.72</v>
      </c>
      <c r="K66" s="168">
        <f t="shared" si="17"/>
        <v>246.84</v>
      </c>
      <c r="L66" s="170">
        <f t="shared" si="9"/>
        <v>1.6</v>
      </c>
      <c r="M66" s="173">
        <f>$G66*F66*80/100</f>
        <v>65.919999999999987</v>
      </c>
    </row>
    <row r="67" spans="1:13" x14ac:dyDescent="0.2">
      <c r="A67" s="161" t="s">
        <v>294</v>
      </c>
      <c r="B67" s="202">
        <v>7.5</v>
      </c>
      <c r="C67" s="202">
        <v>19</v>
      </c>
      <c r="D67" s="202">
        <v>1.8</v>
      </c>
      <c r="E67" s="203">
        <v>1</v>
      </c>
      <c r="F67" s="246">
        <v>68</v>
      </c>
      <c r="G67" s="250"/>
      <c r="H67" s="248">
        <f>$G67*B67*110/100</f>
        <v>0</v>
      </c>
      <c r="I67" s="202">
        <f>$G67*C67*110/100</f>
        <v>0</v>
      </c>
      <c r="J67" s="202">
        <f>$G67*D67*110/100</f>
        <v>0</v>
      </c>
      <c r="K67" s="168">
        <f t="shared" si="17"/>
        <v>0</v>
      </c>
      <c r="L67" s="170">
        <f t="shared" si="9"/>
        <v>0</v>
      </c>
      <c r="M67" s="173">
        <f>$G67*F67*110/100</f>
        <v>0</v>
      </c>
    </row>
    <row r="68" spans="1:13" x14ac:dyDescent="0.2">
      <c r="A68" s="161" t="s">
        <v>295</v>
      </c>
      <c r="B68" s="225">
        <v>4.5</v>
      </c>
      <c r="C68" s="225">
        <v>0.3</v>
      </c>
      <c r="D68" s="225">
        <v>2.2000000000000002</v>
      </c>
      <c r="E68" s="203">
        <v>1.2</v>
      </c>
      <c r="F68" s="246">
        <v>84</v>
      </c>
      <c r="G68" s="250">
        <v>2</v>
      </c>
      <c r="H68" s="248">
        <f>$G68*B68*100/100</f>
        <v>9</v>
      </c>
      <c r="I68" s="202">
        <f>$G68*C68*100/100</f>
        <v>0.6</v>
      </c>
      <c r="J68" s="202">
        <f>$G68*D68*100/100</f>
        <v>4.4000000000000004</v>
      </c>
      <c r="K68" s="168">
        <f t="shared" si="17"/>
        <v>246.33999999999997</v>
      </c>
      <c r="L68" s="170">
        <f t="shared" si="9"/>
        <v>2.4</v>
      </c>
      <c r="M68" s="173">
        <f>$G68*F68*100/100</f>
        <v>168</v>
      </c>
    </row>
    <row r="69" spans="1:13" x14ac:dyDescent="0.2">
      <c r="A69" s="201" t="s">
        <v>280</v>
      </c>
      <c r="B69" s="202">
        <v>2</v>
      </c>
      <c r="C69" s="202">
        <v>4</v>
      </c>
      <c r="D69" s="202">
        <v>3.3</v>
      </c>
      <c r="E69" s="203">
        <v>1</v>
      </c>
      <c r="F69" s="246">
        <f t="shared" ref="F69:F71" si="22">100-B69-C69-D69</f>
        <v>90.7</v>
      </c>
      <c r="G69" s="250"/>
      <c r="H69" s="248">
        <f>$G69*B69*30/100</f>
        <v>0</v>
      </c>
      <c r="I69" s="202">
        <f>$G69*C69*30/100</f>
        <v>0</v>
      </c>
      <c r="J69" s="202">
        <f>$G69*D69*30/100</f>
        <v>0</v>
      </c>
      <c r="K69" s="168">
        <f t="shared" si="17"/>
        <v>0</v>
      </c>
      <c r="L69" s="170">
        <f t="shared" si="9"/>
        <v>0</v>
      </c>
      <c r="M69" s="202">
        <f>$G69*F69*30/100</f>
        <v>0</v>
      </c>
    </row>
    <row r="70" spans="1:13" x14ac:dyDescent="0.2">
      <c r="A70" s="201" t="s">
        <v>200</v>
      </c>
      <c r="B70" s="225">
        <v>37</v>
      </c>
      <c r="C70" s="225">
        <v>1.5</v>
      </c>
      <c r="D70" s="225">
        <v>15</v>
      </c>
      <c r="E70" s="203">
        <v>2</v>
      </c>
      <c r="F70" s="246">
        <f t="shared" si="22"/>
        <v>46.5</v>
      </c>
      <c r="G70" s="250"/>
      <c r="H70" s="248">
        <f>$G70*B70*200/100</f>
        <v>0</v>
      </c>
      <c r="I70" s="202">
        <f>$G70*C70*200/100</f>
        <v>0</v>
      </c>
      <c r="J70" s="202">
        <f>$G70*D70*200/100</f>
        <v>0</v>
      </c>
      <c r="K70" s="168">
        <f t="shared" si="17"/>
        <v>0</v>
      </c>
      <c r="L70" s="170">
        <f t="shared" si="9"/>
        <v>0</v>
      </c>
      <c r="M70" s="173">
        <f>$G70*F70*200/100</f>
        <v>0</v>
      </c>
    </row>
    <row r="71" spans="1:13" x14ac:dyDescent="0.2">
      <c r="A71" s="201" t="s">
        <v>201</v>
      </c>
      <c r="B71" s="225">
        <v>54.3</v>
      </c>
      <c r="C71" s="225">
        <v>4.9000000000000004</v>
      </c>
      <c r="D71" s="225">
        <v>21.8</v>
      </c>
      <c r="E71" s="203">
        <v>13.8</v>
      </c>
      <c r="F71" s="246">
        <f t="shared" si="22"/>
        <v>19.000000000000004</v>
      </c>
      <c r="G71" s="250"/>
      <c r="H71" s="248">
        <f>$G71*B71*120/100</f>
        <v>0</v>
      </c>
      <c r="I71" s="202">
        <f>$G71*C71*120/100</f>
        <v>0</v>
      </c>
      <c r="J71" s="202">
        <f>$G71*D71*120/100</f>
        <v>0</v>
      </c>
      <c r="K71" s="168">
        <f t="shared" si="17"/>
        <v>0</v>
      </c>
      <c r="L71" s="170">
        <f t="shared" si="9"/>
        <v>0</v>
      </c>
      <c r="M71" s="173">
        <f>$G71*F71*200/100</f>
        <v>0</v>
      </c>
    </row>
    <row r="72" spans="1:13" x14ac:dyDescent="0.2">
      <c r="A72" s="201" t="s">
        <v>203</v>
      </c>
      <c r="B72" s="202">
        <v>20</v>
      </c>
      <c r="C72" s="202">
        <v>0.4</v>
      </c>
      <c r="D72" s="202">
        <v>8.9</v>
      </c>
      <c r="E72" s="203">
        <v>6</v>
      </c>
      <c r="F72" s="246">
        <f>100-B72-C72-D72</f>
        <v>70.699999999999989</v>
      </c>
      <c r="G72" s="250"/>
      <c r="H72" s="248">
        <f t="shared" ref="H72:J73" si="23">$G72*B72*200/100</f>
        <v>0</v>
      </c>
      <c r="I72" s="202">
        <f t="shared" si="23"/>
        <v>0</v>
      </c>
      <c r="J72" s="202">
        <f t="shared" si="23"/>
        <v>0</v>
      </c>
      <c r="K72" s="168">
        <f>H72*16.7+I72*37.6+J72*16.7</f>
        <v>0</v>
      </c>
      <c r="L72" s="170">
        <f t="shared" si="9"/>
        <v>0</v>
      </c>
      <c r="M72" s="173">
        <f>$G72*F72*200/100</f>
        <v>0</v>
      </c>
    </row>
    <row r="73" spans="1:13" ht="12" customHeight="1" x14ac:dyDescent="0.2">
      <c r="A73" s="201" t="s">
        <v>302</v>
      </c>
      <c r="B73" s="202">
        <v>15</v>
      </c>
      <c r="C73" s="202">
        <v>0.5</v>
      </c>
      <c r="D73" s="202">
        <v>6.5</v>
      </c>
      <c r="E73" s="203">
        <v>3</v>
      </c>
      <c r="F73" s="246">
        <f>100-B73-C73-D73</f>
        <v>78</v>
      </c>
      <c r="G73" s="250"/>
      <c r="H73" s="248">
        <f t="shared" si="23"/>
        <v>0</v>
      </c>
      <c r="I73" s="202">
        <f t="shared" si="23"/>
        <v>0</v>
      </c>
      <c r="J73" s="202">
        <f t="shared" si="23"/>
        <v>0</v>
      </c>
      <c r="K73" s="168">
        <f>H73*16.7+I73*37.6+J73*16.7</f>
        <v>0</v>
      </c>
      <c r="L73" s="170">
        <f t="shared" si="9"/>
        <v>0</v>
      </c>
      <c r="M73" s="173">
        <f>$G73*F73*200/100</f>
        <v>0</v>
      </c>
    </row>
    <row r="74" spans="1:13" ht="12" customHeight="1" x14ac:dyDescent="0.2">
      <c r="A74" s="161" t="s">
        <v>336</v>
      </c>
      <c r="B74" s="225">
        <v>8.5</v>
      </c>
      <c r="C74" s="225">
        <v>0.2</v>
      </c>
      <c r="D74" s="225">
        <v>1.1000000000000001</v>
      </c>
      <c r="E74" s="203">
        <v>2</v>
      </c>
      <c r="F74" s="246">
        <v>89</v>
      </c>
      <c r="G74" s="250"/>
      <c r="H74" s="248">
        <f t="shared" ref="H74:J75" si="24">$G74*B74*110/100</f>
        <v>0</v>
      </c>
      <c r="I74" s="202">
        <f t="shared" si="24"/>
        <v>0</v>
      </c>
      <c r="J74" s="202">
        <f t="shared" si="24"/>
        <v>0</v>
      </c>
      <c r="K74" s="168">
        <f t="shared" si="17"/>
        <v>0</v>
      </c>
      <c r="L74" s="170">
        <f t="shared" si="9"/>
        <v>0</v>
      </c>
      <c r="M74" s="173">
        <f>$G74*F74*110/100</f>
        <v>0</v>
      </c>
    </row>
    <row r="75" spans="1:13" ht="12" customHeight="1" x14ac:dyDescent="0.2">
      <c r="A75" s="161" t="s">
        <v>337</v>
      </c>
      <c r="B75" s="225">
        <v>8.5</v>
      </c>
      <c r="C75" s="225">
        <v>8</v>
      </c>
      <c r="D75" s="225">
        <v>2</v>
      </c>
      <c r="E75" s="203">
        <v>1.5</v>
      </c>
      <c r="F75" s="246">
        <v>84</v>
      </c>
      <c r="G75" s="250"/>
      <c r="H75" s="248">
        <f t="shared" si="24"/>
        <v>0</v>
      </c>
      <c r="I75" s="202">
        <f t="shared" si="24"/>
        <v>0</v>
      </c>
      <c r="J75" s="202">
        <f t="shared" si="24"/>
        <v>0</v>
      </c>
      <c r="K75" s="168">
        <f t="shared" si="17"/>
        <v>0</v>
      </c>
      <c r="L75" s="170">
        <f t="shared" si="9"/>
        <v>0</v>
      </c>
      <c r="M75" s="173">
        <f>$G75*F75*110/100</f>
        <v>0</v>
      </c>
    </row>
    <row r="76" spans="1:13" x14ac:dyDescent="0.2">
      <c r="A76" s="201" t="s">
        <v>296</v>
      </c>
      <c r="B76" s="202">
        <v>2.6</v>
      </c>
      <c r="C76" s="202">
        <v>0.1</v>
      </c>
      <c r="D76" s="202">
        <v>1.3</v>
      </c>
      <c r="E76" s="203">
        <v>2</v>
      </c>
      <c r="F76" s="246">
        <v>95.6</v>
      </c>
      <c r="G76" s="250"/>
      <c r="H76" s="248">
        <f t="shared" ref="H76:J77" si="25">$G76*B76*80/100</f>
        <v>0</v>
      </c>
      <c r="I76" s="202">
        <f t="shared" si="25"/>
        <v>0</v>
      </c>
      <c r="J76" s="202">
        <f t="shared" si="25"/>
        <v>0</v>
      </c>
      <c r="K76" s="168">
        <f t="shared" si="17"/>
        <v>0</v>
      </c>
      <c r="L76" s="170">
        <f t="shared" si="9"/>
        <v>0</v>
      </c>
      <c r="M76" s="173">
        <f>$G76*F76*80/100</f>
        <v>0</v>
      </c>
    </row>
    <row r="77" spans="1:13" x14ac:dyDescent="0.2">
      <c r="A77" s="201" t="s">
        <v>297</v>
      </c>
      <c r="B77" s="202">
        <v>2.6</v>
      </c>
      <c r="C77" s="202">
        <v>4</v>
      </c>
      <c r="D77" s="202">
        <v>1.8</v>
      </c>
      <c r="E77" s="203">
        <v>2</v>
      </c>
      <c r="F77" s="246">
        <v>90</v>
      </c>
      <c r="G77" s="250"/>
      <c r="H77" s="248">
        <f t="shared" si="25"/>
        <v>0</v>
      </c>
      <c r="I77" s="202">
        <f t="shared" si="25"/>
        <v>0</v>
      </c>
      <c r="J77" s="202">
        <f t="shared" si="25"/>
        <v>0</v>
      </c>
      <c r="K77" s="168">
        <f t="shared" si="17"/>
        <v>0</v>
      </c>
      <c r="L77" s="170">
        <f t="shared" si="9"/>
        <v>0</v>
      </c>
      <c r="M77" s="173">
        <f>$G77*F77*80/100</f>
        <v>0</v>
      </c>
    </row>
    <row r="78" spans="1:13" x14ac:dyDescent="0.2">
      <c r="A78" s="201" t="s">
        <v>298</v>
      </c>
      <c r="B78" s="202">
        <v>3.7</v>
      </c>
      <c r="C78" s="202">
        <v>0.3</v>
      </c>
      <c r="D78" s="202">
        <v>1</v>
      </c>
      <c r="E78" s="203">
        <v>2</v>
      </c>
      <c r="F78" s="246">
        <v>94.6</v>
      </c>
      <c r="G78" s="250"/>
      <c r="H78" s="248">
        <f>$G78*B78*120/100</f>
        <v>0</v>
      </c>
      <c r="I78" s="202">
        <f>$G78*C78*120/100</f>
        <v>0</v>
      </c>
      <c r="J78" s="202">
        <f>$G78*D78*120/100</f>
        <v>0</v>
      </c>
      <c r="K78" s="168">
        <f t="shared" si="17"/>
        <v>0</v>
      </c>
      <c r="L78" s="170">
        <f t="shared" si="9"/>
        <v>0</v>
      </c>
      <c r="M78" s="173">
        <f>$G78*F78*120/100</f>
        <v>0</v>
      </c>
    </row>
    <row r="79" spans="1:13" x14ac:dyDescent="0.2">
      <c r="A79" s="201" t="s">
        <v>309</v>
      </c>
      <c r="B79" s="225">
        <v>8</v>
      </c>
      <c r="C79" s="225">
        <v>0.4</v>
      </c>
      <c r="D79" s="225">
        <v>1.5</v>
      </c>
      <c r="E79" s="203">
        <v>2</v>
      </c>
      <c r="F79" s="246">
        <f t="shared" ref="F79:F90" si="26">100-B79-C79-D79</f>
        <v>90.1</v>
      </c>
      <c r="G79" s="250"/>
      <c r="H79" s="248">
        <f t="shared" ref="H79:J84" si="27">$G79*B79*200/100</f>
        <v>0</v>
      </c>
      <c r="I79" s="202">
        <f t="shared" si="27"/>
        <v>0</v>
      </c>
      <c r="J79" s="202">
        <f t="shared" si="27"/>
        <v>0</v>
      </c>
      <c r="K79" s="168">
        <f t="shared" si="17"/>
        <v>0</v>
      </c>
      <c r="L79" s="170">
        <f t="shared" si="9"/>
        <v>0</v>
      </c>
      <c r="M79" s="173">
        <f t="shared" ref="M79:M84" si="28">$G79*F79*200/100</f>
        <v>0</v>
      </c>
    </row>
    <row r="80" spans="1:13" x14ac:dyDescent="0.2">
      <c r="A80" s="201" t="s">
        <v>300</v>
      </c>
      <c r="B80" s="225">
        <v>6.5</v>
      </c>
      <c r="C80" s="225">
        <v>0.2</v>
      </c>
      <c r="D80" s="225">
        <v>1.3</v>
      </c>
      <c r="E80" s="203">
        <v>2</v>
      </c>
      <c r="F80" s="246">
        <f t="shared" si="26"/>
        <v>92</v>
      </c>
      <c r="G80" s="250"/>
      <c r="H80" s="248">
        <f t="shared" si="27"/>
        <v>0</v>
      </c>
      <c r="I80" s="202">
        <f t="shared" si="27"/>
        <v>0</v>
      </c>
      <c r="J80" s="202">
        <f t="shared" si="27"/>
        <v>0</v>
      </c>
      <c r="K80" s="168">
        <f t="shared" si="17"/>
        <v>0</v>
      </c>
      <c r="L80" s="170">
        <f t="shared" si="9"/>
        <v>0</v>
      </c>
      <c r="M80" s="173">
        <f t="shared" si="28"/>
        <v>0</v>
      </c>
    </row>
    <row r="81" spans="1:13" x14ac:dyDescent="0.2">
      <c r="A81" s="201" t="s">
        <v>301</v>
      </c>
      <c r="B81" s="202">
        <v>4</v>
      </c>
      <c r="C81" s="202">
        <v>0.2</v>
      </c>
      <c r="D81" s="202">
        <v>2.2999999999999998</v>
      </c>
      <c r="E81" s="203">
        <v>2.5</v>
      </c>
      <c r="F81" s="246">
        <f t="shared" si="26"/>
        <v>93.5</v>
      </c>
      <c r="G81" s="250"/>
      <c r="H81" s="248">
        <f t="shared" si="27"/>
        <v>0</v>
      </c>
      <c r="I81" s="202">
        <f t="shared" si="27"/>
        <v>0</v>
      </c>
      <c r="J81" s="202">
        <f t="shared" si="27"/>
        <v>0</v>
      </c>
      <c r="K81" s="168">
        <f t="shared" si="17"/>
        <v>0</v>
      </c>
      <c r="L81" s="170">
        <f t="shared" si="9"/>
        <v>0</v>
      </c>
      <c r="M81" s="173">
        <f t="shared" si="28"/>
        <v>0</v>
      </c>
    </row>
    <row r="82" spans="1:13" x14ac:dyDescent="0.2">
      <c r="A82" s="201" t="s">
        <v>325</v>
      </c>
      <c r="B82" s="225">
        <v>4</v>
      </c>
      <c r="C82" s="225">
        <v>0.2</v>
      </c>
      <c r="D82" s="225">
        <v>1.5</v>
      </c>
      <c r="E82" s="203">
        <v>2</v>
      </c>
      <c r="F82" s="246">
        <f t="shared" si="26"/>
        <v>94.3</v>
      </c>
      <c r="G82" s="250"/>
      <c r="H82" s="248">
        <f t="shared" si="27"/>
        <v>0</v>
      </c>
      <c r="I82" s="202">
        <f t="shared" si="27"/>
        <v>0</v>
      </c>
      <c r="J82" s="202">
        <f t="shared" si="27"/>
        <v>0</v>
      </c>
      <c r="K82" s="168">
        <f t="shared" si="17"/>
        <v>0</v>
      </c>
      <c r="L82" s="170">
        <f t="shared" si="9"/>
        <v>0</v>
      </c>
      <c r="M82" s="173">
        <f t="shared" si="28"/>
        <v>0</v>
      </c>
    </row>
    <row r="83" spans="1:13" x14ac:dyDescent="0.2">
      <c r="A83" s="201" t="s">
        <v>303</v>
      </c>
      <c r="B83" s="202">
        <v>6</v>
      </c>
      <c r="C83" s="202">
        <v>0.2</v>
      </c>
      <c r="D83" s="202">
        <v>2.2999999999999998</v>
      </c>
      <c r="E83" s="203">
        <v>2</v>
      </c>
      <c r="F83" s="246">
        <f t="shared" si="26"/>
        <v>91.5</v>
      </c>
      <c r="G83" s="250"/>
      <c r="H83" s="248">
        <f t="shared" si="27"/>
        <v>0</v>
      </c>
      <c r="I83" s="202">
        <f t="shared" si="27"/>
        <v>0</v>
      </c>
      <c r="J83" s="202">
        <f t="shared" si="27"/>
        <v>0</v>
      </c>
      <c r="K83" s="168">
        <f t="shared" si="17"/>
        <v>0</v>
      </c>
      <c r="L83" s="170">
        <f t="shared" si="9"/>
        <v>0</v>
      </c>
      <c r="M83" s="173">
        <f t="shared" si="28"/>
        <v>0</v>
      </c>
    </row>
    <row r="84" spans="1:13" x14ac:dyDescent="0.2">
      <c r="A84" s="201" t="s">
        <v>304</v>
      </c>
      <c r="B84" s="202">
        <v>5</v>
      </c>
      <c r="C84" s="202">
        <v>4.5</v>
      </c>
      <c r="D84" s="202">
        <v>1.3</v>
      </c>
      <c r="E84" s="203">
        <v>2</v>
      </c>
      <c r="F84" s="246">
        <f t="shared" si="26"/>
        <v>89.2</v>
      </c>
      <c r="G84" s="250"/>
      <c r="H84" s="248">
        <f t="shared" si="27"/>
        <v>0</v>
      </c>
      <c r="I84" s="202">
        <f t="shared" si="27"/>
        <v>0</v>
      </c>
      <c r="J84" s="202">
        <f t="shared" si="27"/>
        <v>0</v>
      </c>
      <c r="K84" s="168">
        <f t="shared" si="17"/>
        <v>0</v>
      </c>
      <c r="L84" s="170">
        <f t="shared" si="9"/>
        <v>0</v>
      </c>
      <c r="M84" s="173">
        <f t="shared" si="28"/>
        <v>0</v>
      </c>
    </row>
    <row r="85" spans="1:13" x14ac:dyDescent="0.2">
      <c r="A85" s="201" t="s">
        <v>305</v>
      </c>
      <c r="B85" s="204">
        <v>3.9</v>
      </c>
      <c r="C85" s="204">
        <v>0.1</v>
      </c>
      <c r="D85" s="204">
        <v>1.1000000000000001</v>
      </c>
      <c r="E85" s="203">
        <v>2</v>
      </c>
      <c r="F85" s="246">
        <f t="shared" si="26"/>
        <v>94.9</v>
      </c>
      <c r="G85" s="250"/>
      <c r="H85" s="248">
        <f t="shared" ref="H85:J86" si="29">$G85*B85*70/100</f>
        <v>0</v>
      </c>
      <c r="I85" s="202">
        <f t="shared" si="29"/>
        <v>0</v>
      </c>
      <c r="J85" s="202">
        <f t="shared" si="29"/>
        <v>0</v>
      </c>
      <c r="K85" s="168">
        <f t="shared" si="17"/>
        <v>0</v>
      </c>
      <c r="L85" s="170">
        <f t="shared" si="9"/>
        <v>0</v>
      </c>
      <c r="M85" s="173">
        <f>$G85*F85*70/100</f>
        <v>0</v>
      </c>
    </row>
    <row r="86" spans="1:13" x14ac:dyDescent="0.2">
      <c r="A86" s="201" t="s">
        <v>306</v>
      </c>
      <c r="B86" s="204">
        <v>3</v>
      </c>
      <c r="C86" s="204">
        <v>4</v>
      </c>
      <c r="D86" s="204">
        <v>0.6</v>
      </c>
      <c r="E86" s="203">
        <v>1.6</v>
      </c>
      <c r="F86" s="246">
        <f t="shared" si="26"/>
        <v>92.4</v>
      </c>
      <c r="G86" s="250"/>
      <c r="H86" s="248">
        <f t="shared" si="29"/>
        <v>0</v>
      </c>
      <c r="I86" s="202">
        <f t="shared" si="29"/>
        <v>0</v>
      </c>
      <c r="J86" s="202">
        <f t="shared" si="29"/>
        <v>0</v>
      </c>
      <c r="K86" s="168">
        <f t="shared" si="17"/>
        <v>0</v>
      </c>
      <c r="L86" s="170">
        <f t="shared" si="9"/>
        <v>0</v>
      </c>
      <c r="M86" s="173">
        <f>$G86*F86*70/100</f>
        <v>0</v>
      </c>
    </row>
    <row r="87" spans="1:13" x14ac:dyDescent="0.2">
      <c r="A87" s="201" t="s">
        <v>307</v>
      </c>
      <c r="B87" s="202">
        <v>3.9</v>
      </c>
      <c r="C87" s="202">
        <v>0.2</v>
      </c>
      <c r="D87" s="202">
        <v>2.2000000000000002</v>
      </c>
      <c r="E87" s="203">
        <v>1.8</v>
      </c>
      <c r="F87" s="246">
        <f t="shared" si="26"/>
        <v>93.699999999999989</v>
      </c>
      <c r="G87" s="250"/>
      <c r="H87" s="248">
        <f t="shared" ref="H87:J88" si="30">$G87*B87*150/100</f>
        <v>0</v>
      </c>
      <c r="I87" s="202">
        <f t="shared" si="30"/>
        <v>0</v>
      </c>
      <c r="J87" s="202">
        <f t="shared" si="30"/>
        <v>0</v>
      </c>
      <c r="K87" s="168">
        <f t="shared" si="17"/>
        <v>0</v>
      </c>
      <c r="L87" s="170">
        <f t="shared" ref="L87:L150" si="31">$G87*E87*100/100</f>
        <v>0</v>
      </c>
      <c r="M87" s="173">
        <f>$G87*F87*150/100</f>
        <v>0</v>
      </c>
    </row>
    <row r="88" spans="1:13" x14ac:dyDescent="0.2">
      <c r="A88" s="201" t="s">
        <v>323</v>
      </c>
      <c r="B88" s="202">
        <v>3.9</v>
      </c>
      <c r="C88" s="202">
        <v>5</v>
      </c>
      <c r="D88" s="202">
        <v>3</v>
      </c>
      <c r="E88" s="203">
        <v>1.6</v>
      </c>
      <c r="F88" s="246">
        <f t="shared" si="26"/>
        <v>88.1</v>
      </c>
      <c r="G88" s="250"/>
      <c r="H88" s="248">
        <f t="shared" si="30"/>
        <v>0</v>
      </c>
      <c r="I88" s="202">
        <f t="shared" si="30"/>
        <v>0</v>
      </c>
      <c r="J88" s="202">
        <f t="shared" si="30"/>
        <v>0</v>
      </c>
      <c r="K88" s="168">
        <f t="shared" si="17"/>
        <v>0</v>
      </c>
      <c r="L88" s="170">
        <f t="shared" si="31"/>
        <v>0</v>
      </c>
      <c r="M88" s="173">
        <f>$G88*F88*150/100</f>
        <v>0</v>
      </c>
    </row>
    <row r="89" spans="1:13" x14ac:dyDescent="0.2">
      <c r="A89" s="201" t="s">
        <v>308</v>
      </c>
      <c r="B89" s="202">
        <v>8.4</v>
      </c>
      <c r="C89" s="202">
        <v>0.2</v>
      </c>
      <c r="D89" s="202">
        <v>0.8</v>
      </c>
      <c r="E89" s="203">
        <v>2</v>
      </c>
      <c r="F89" s="246">
        <f t="shared" si="26"/>
        <v>90.6</v>
      </c>
      <c r="G89" s="250"/>
      <c r="H89" s="248">
        <f t="shared" ref="H89:J90" si="32">$G89*B89*200/100</f>
        <v>0</v>
      </c>
      <c r="I89" s="202">
        <f t="shared" si="32"/>
        <v>0</v>
      </c>
      <c r="J89" s="202">
        <f t="shared" si="32"/>
        <v>0</v>
      </c>
      <c r="K89" s="168">
        <f t="shared" si="17"/>
        <v>0</v>
      </c>
      <c r="L89" s="170">
        <f t="shared" si="31"/>
        <v>0</v>
      </c>
      <c r="M89" s="173">
        <f>$G89*F89*200/100</f>
        <v>0</v>
      </c>
    </row>
    <row r="90" spans="1:13" ht="13.5" thickBot="1" x14ac:dyDescent="0.25">
      <c r="A90" s="232" t="s">
        <v>299</v>
      </c>
      <c r="B90" s="229">
        <v>4.9000000000000004</v>
      </c>
      <c r="C90" s="229">
        <v>0.2</v>
      </c>
      <c r="D90" s="229">
        <v>2.4</v>
      </c>
      <c r="E90" s="228">
        <v>2</v>
      </c>
      <c r="F90" s="252">
        <f t="shared" si="26"/>
        <v>92.499999999999986</v>
      </c>
      <c r="G90" s="251"/>
      <c r="H90" s="254">
        <f t="shared" si="32"/>
        <v>0</v>
      </c>
      <c r="I90" s="229">
        <f t="shared" si="32"/>
        <v>0</v>
      </c>
      <c r="J90" s="229">
        <f t="shared" si="32"/>
        <v>0</v>
      </c>
      <c r="K90" s="230">
        <f t="shared" si="17"/>
        <v>0</v>
      </c>
      <c r="L90" s="170">
        <f t="shared" si="31"/>
        <v>0</v>
      </c>
      <c r="M90" s="176">
        <f>$G90*F90*200/100</f>
        <v>0</v>
      </c>
    </row>
    <row r="91" spans="1:13" ht="13.5" thickBot="1" x14ac:dyDescent="0.25">
      <c r="A91" s="308" t="s">
        <v>357</v>
      </c>
      <c r="B91" s="309"/>
      <c r="C91" s="309"/>
      <c r="D91" s="309"/>
      <c r="E91" s="306"/>
      <c r="F91" s="309"/>
      <c r="G91" s="307"/>
      <c r="H91" s="309"/>
      <c r="I91" s="309"/>
      <c r="J91" s="309"/>
      <c r="K91" s="309"/>
      <c r="L91" s="309"/>
      <c r="M91" s="303"/>
    </row>
    <row r="92" spans="1:13" x14ac:dyDescent="0.2">
      <c r="A92" s="197" t="s">
        <v>253</v>
      </c>
      <c r="B92" s="170">
        <v>80</v>
      </c>
      <c r="C92" s="170">
        <v>15</v>
      </c>
      <c r="D92" s="170">
        <v>5</v>
      </c>
      <c r="E92" s="170">
        <v>0.8</v>
      </c>
      <c r="F92" s="171">
        <f t="shared" ref="F92:F102" si="33">100-B92-C92-D92</f>
        <v>0</v>
      </c>
      <c r="G92" s="255"/>
      <c r="H92" s="253">
        <f>$G92*B92*160/100</f>
        <v>0</v>
      </c>
      <c r="I92" s="233">
        <f>$G92*C92*160/100</f>
        <v>0</v>
      </c>
      <c r="J92" s="233">
        <f>$G92*D92*160/100</f>
        <v>0</v>
      </c>
      <c r="K92" s="200">
        <f t="shared" ref="K92:K104" si="34">H92*16.7+I92*37.6+J92*16.7</f>
        <v>0</v>
      </c>
      <c r="L92" s="170">
        <f t="shared" si="31"/>
        <v>0</v>
      </c>
      <c r="M92" s="170">
        <f>$G92*F92*160/100</f>
        <v>0</v>
      </c>
    </row>
    <row r="93" spans="1:13" x14ac:dyDescent="0.2">
      <c r="A93" s="161" t="s">
        <v>252</v>
      </c>
      <c r="B93" s="173">
        <v>77</v>
      </c>
      <c r="C93" s="173">
        <v>10</v>
      </c>
      <c r="D93" s="173">
        <v>5.6</v>
      </c>
      <c r="E93" s="173">
        <v>1</v>
      </c>
      <c r="F93" s="164">
        <f t="shared" si="33"/>
        <v>7.4</v>
      </c>
      <c r="G93" s="131"/>
      <c r="H93" s="166">
        <f>$G93*B93*15/100</f>
        <v>0</v>
      </c>
      <c r="I93" s="167">
        <f>$G93*C93*15/100</f>
        <v>0</v>
      </c>
      <c r="J93" s="167">
        <f>$G93*D93*15/100</f>
        <v>0</v>
      </c>
      <c r="K93" s="168">
        <f t="shared" si="34"/>
        <v>0</v>
      </c>
      <c r="L93" s="170">
        <f t="shared" si="31"/>
        <v>0</v>
      </c>
      <c r="M93" s="173">
        <f>$G93*F93*15/100</f>
        <v>0</v>
      </c>
    </row>
    <row r="94" spans="1:13" x14ac:dyDescent="0.2">
      <c r="A94" s="201" t="s">
        <v>256</v>
      </c>
      <c r="B94" s="204">
        <v>34.200000000000003</v>
      </c>
      <c r="C94" s="204">
        <v>8.3000000000000007</v>
      </c>
      <c r="D94" s="204">
        <v>5.7</v>
      </c>
      <c r="E94" s="203">
        <v>1</v>
      </c>
      <c r="F94" s="246">
        <f t="shared" si="33"/>
        <v>51.8</v>
      </c>
      <c r="G94" s="250"/>
      <c r="H94" s="248">
        <f>$G94*B94*150/100</f>
        <v>0</v>
      </c>
      <c r="I94" s="202">
        <f>$G94*C94*150/100</f>
        <v>0</v>
      </c>
      <c r="J94" s="202">
        <f>$G94*D94*150/100</f>
        <v>0</v>
      </c>
      <c r="K94" s="168">
        <f t="shared" si="34"/>
        <v>0</v>
      </c>
      <c r="L94" s="170">
        <f t="shared" si="31"/>
        <v>0</v>
      </c>
      <c r="M94" s="173">
        <f>$G94*F94*150/100</f>
        <v>0</v>
      </c>
    </row>
    <row r="95" spans="1:13" x14ac:dyDescent="0.2">
      <c r="A95" s="201" t="s">
        <v>254</v>
      </c>
      <c r="B95" s="204">
        <v>23.2</v>
      </c>
      <c r="C95" s="204">
        <v>13.6</v>
      </c>
      <c r="D95" s="204">
        <v>6.2</v>
      </c>
      <c r="E95" s="203">
        <v>0.5</v>
      </c>
      <c r="F95" s="246">
        <f t="shared" si="33"/>
        <v>56.999999999999993</v>
      </c>
      <c r="G95" s="250">
        <v>1</v>
      </c>
      <c r="H95" s="248">
        <f>$G95*B95*200/100</f>
        <v>46.4</v>
      </c>
      <c r="I95" s="202">
        <f>$G95*C95*200/100</f>
        <v>27.2</v>
      </c>
      <c r="J95" s="202">
        <f>$G95*D95*200/100</f>
        <v>12.4</v>
      </c>
      <c r="K95" s="168">
        <f t="shared" si="34"/>
        <v>2004.6799999999998</v>
      </c>
      <c r="L95" s="170">
        <f t="shared" si="31"/>
        <v>0.5</v>
      </c>
      <c r="M95" s="173">
        <f>$G95*F95*200/100</f>
        <v>113.99999999999999</v>
      </c>
    </row>
    <row r="96" spans="1:13" x14ac:dyDescent="0.2">
      <c r="A96" s="201" t="s">
        <v>255</v>
      </c>
      <c r="B96" s="204">
        <v>27</v>
      </c>
      <c r="C96" s="204">
        <v>11</v>
      </c>
      <c r="D96" s="204">
        <v>3.8</v>
      </c>
      <c r="E96" s="203">
        <v>0</v>
      </c>
      <c r="F96" s="246"/>
      <c r="G96" s="250"/>
      <c r="H96" s="248">
        <f t="shared" ref="H96:J101" si="35">$G96*B96*150/100</f>
        <v>0</v>
      </c>
      <c r="I96" s="202">
        <f t="shared" si="35"/>
        <v>0</v>
      </c>
      <c r="J96" s="202">
        <f t="shared" si="35"/>
        <v>0</v>
      </c>
      <c r="K96" s="168">
        <f t="shared" si="34"/>
        <v>0</v>
      </c>
      <c r="L96" s="170">
        <f t="shared" si="31"/>
        <v>0</v>
      </c>
      <c r="M96" s="173">
        <f t="shared" ref="M96:M101" si="36">$G96*F96*150/100</f>
        <v>0</v>
      </c>
    </row>
    <row r="97" spans="1:20" x14ac:dyDescent="0.2">
      <c r="A97" s="201" t="s">
        <v>202</v>
      </c>
      <c r="B97" s="204">
        <v>20</v>
      </c>
      <c r="C97" s="204">
        <v>10</v>
      </c>
      <c r="D97" s="204">
        <v>4</v>
      </c>
      <c r="E97" s="203">
        <v>0</v>
      </c>
      <c r="F97" s="246">
        <f t="shared" si="33"/>
        <v>66</v>
      </c>
      <c r="G97" s="250">
        <v>3</v>
      </c>
      <c r="H97" s="248">
        <f t="shared" si="35"/>
        <v>90</v>
      </c>
      <c r="I97" s="202">
        <f t="shared" si="35"/>
        <v>45</v>
      </c>
      <c r="J97" s="202">
        <f t="shared" si="35"/>
        <v>18</v>
      </c>
      <c r="K97" s="168">
        <f t="shared" si="34"/>
        <v>3495.6</v>
      </c>
      <c r="L97" s="170">
        <f t="shared" si="31"/>
        <v>0</v>
      </c>
      <c r="M97" s="173">
        <f t="shared" si="36"/>
        <v>297</v>
      </c>
    </row>
    <row r="98" spans="1:20" x14ac:dyDescent="0.2">
      <c r="A98" s="234" t="s">
        <v>258</v>
      </c>
      <c r="B98" s="204">
        <v>65</v>
      </c>
      <c r="C98" s="204">
        <v>9</v>
      </c>
      <c r="D98" s="204">
        <v>4.5999999999999996</v>
      </c>
      <c r="E98" s="203">
        <v>0.5</v>
      </c>
      <c r="F98" s="246">
        <f t="shared" si="33"/>
        <v>21.4</v>
      </c>
      <c r="G98" s="250"/>
      <c r="H98" s="248">
        <f t="shared" si="35"/>
        <v>0</v>
      </c>
      <c r="I98" s="202">
        <f t="shared" si="35"/>
        <v>0</v>
      </c>
      <c r="J98" s="202">
        <f t="shared" si="35"/>
        <v>0</v>
      </c>
      <c r="K98" s="168">
        <f t="shared" si="34"/>
        <v>0</v>
      </c>
      <c r="L98" s="170">
        <f t="shared" si="31"/>
        <v>0</v>
      </c>
      <c r="M98" s="173">
        <f t="shared" si="36"/>
        <v>0</v>
      </c>
    </row>
    <row r="99" spans="1:20" s="49" customFormat="1" x14ac:dyDescent="0.2">
      <c r="A99" s="234" t="s">
        <v>257</v>
      </c>
      <c r="B99" s="204">
        <v>45</v>
      </c>
      <c r="C99" s="204">
        <v>13.1</v>
      </c>
      <c r="D99" s="204">
        <v>2.6</v>
      </c>
      <c r="E99" s="203">
        <v>1</v>
      </c>
      <c r="F99" s="246">
        <f t="shared" si="33"/>
        <v>39.299999999999997</v>
      </c>
      <c r="G99" s="250"/>
      <c r="H99" s="248">
        <f t="shared" si="35"/>
        <v>0</v>
      </c>
      <c r="I99" s="202">
        <f t="shared" si="35"/>
        <v>0</v>
      </c>
      <c r="J99" s="202">
        <f t="shared" si="35"/>
        <v>0</v>
      </c>
      <c r="K99" s="168">
        <f t="shared" si="34"/>
        <v>0</v>
      </c>
      <c r="L99" s="170">
        <f t="shared" si="31"/>
        <v>0</v>
      </c>
      <c r="M99" s="173">
        <f t="shared" si="36"/>
        <v>0</v>
      </c>
      <c r="N99" s="47"/>
      <c r="O99" s="58"/>
      <c r="P99" s="58"/>
      <c r="Q99" s="58"/>
      <c r="R99" s="58"/>
      <c r="S99" s="58"/>
      <c r="T99" s="58"/>
    </row>
    <row r="100" spans="1:20" x14ac:dyDescent="0.2">
      <c r="A100" s="201" t="s">
        <v>191</v>
      </c>
      <c r="B100" s="204">
        <v>12</v>
      </c>
      <c r="C100" s="204">
        <v>1</v>
      </c>
      <c r="D100" s="204">
        <v>2</v>
      </c>
      <c r="E100" s="203">
        <v>0.5</v>
      </c>
      <c r="F100" s="246">
        <f t="shared" si="33"/>
        <v>85</v>
      </c>
      <c r="G100" s="250"/>
      <c r="H100" s="248">
        <f t="shared" si="35"/>
        <v>0</v>
      </c>
      <c r="I100" s="202">
        <f t="shared" si="35"/>
        <v>0</v>
      </c>
      <c r="J100" s="202">
        <f t="shared" si="35"/>
        <v>0</v>
      </c>
      <c r="K100" s="168">
        <f t="shared" si="34"/>
        <v>0</v>
      </c>
      <c r="L100" s="170">
        <f t="shared" si="31"/>
        <v>0</v>
      </c>
      <c r="M100" s="173">
        <f t="shared" si="36"/>
        <v>0</v>
      </c>
    </row>
    <row r="101" spans="1:20" x14ac:dyDescent="0.2">
      <c r="A101" s="201" t="s">
        <v>314</v>
      </c>
      <c r="B101" s="204">
        <v>33.5</v>
      </c>
      <c r="C101" s="204">
        <v>25.8</v>
      </c>
      <c r="D101" s="204">
        <v>13.2</v>
      </c>
      <c r="E101" s="203">
        <v>0</v>
      </c>
      <c r="F101" s="246">
        <f t="shared" si="33"/>
        <v>27.500000000000004</v>
      </c>
      <c r="G101" s="250"/>
      <c r="H101" s="248">
        <f t="shared" si="35"/>
        <v>0</v>
      </c>
      <c r="I101" s="202">
        <f t="shared" si="35"/>
        <v>0</v>
      </c>
      <c r="J101" s="202">
        <f t="shared" si="35"/>
        <v>0</v>
      </c>
      <c r="K101" s="168">
        <f t="shared" si="34"/>
        <v>0</v>
      </c>
      <c r="L101" s="170">
        <f t="shared" si="31"/>
        <v>0</v>
      </c>
      <c r="M101" s="173">
        <f t="shared" si="36"/>
        <v>0</v>
      </c>
    </row>
    <row r="102" spans="1:20" x14ac:dyDescent="0.2">
      <c r="A102" s="161" t="s">
        <v>259</v>
      </c>
      <c r="B102" s="202">
        <v>63</v>
      </c>
      <c r="C102" s="202">
        <v>30</v>
      </c>
      <c r="D102" s="202">
        <v>2</v>
      </c>
      <c r="E102" s="203">
        <v>0</v>
      </c>
      <c r="F102" s="246">
        <f t="shared" si="33"/>
        <v>5</v>
      </c>
      <c r="G102" s="250"/>
      <c r="H102" s="248">
        <f t="shared" ref="H102:J103" si="37">$G102*B102*10/100</f>
        <v>0</v>
      </c>
      <c r="I102" s="202">
        <f t="shared" si="37"/>
        <v>0</v>
      </c>
      <c r="J102" s="202">
        <f t="shared" si="37"/>
        <v>0</v>
      </c>
      <c r="K102" s="168">
        <f t="shared" si="34"/>
        <v>0</v>
      </c>
      <c r="L102" s="170">
        <f t="shared" si="31"/>
        <v>0</v>
      </c>
      <c r="M102" s="173">
        <f>$G102*F102*10/100</f>
        <v>0</v>
      </c>
    </row>
    <row r="103" spans="1:20" x14ac:dyDescent="0.2">
      <c r="A103" s="161" t="s">
        <v>260</v>
      </c>
      <c r="B103" s="202">
        <v>55.7</v>
      </c>
      <c r="C103" s="202">
        <v>33.5</v>
      </c>
      <c r="D103" s="202">
        <v>6</v>
      </c>
      <c r="E103" s="203">
        <v>0</v>
      </c>
      <c r="F103" s="246">
        <v>4.3</v>
      </c>
      <c r="G103" s="250"/>
      <c r="H103" s="248">
        <f t="shared" si="37"/>
        <v>0</v>
      </c>
      <c r="I103" s="202">
        <f t="shared" si="37"/>
        <v>0</v>
      </c>
      <c r="J103" s="202">
        <f t="shared" si="37"/>
        <v>0</v>
      </c>
      <c r="K103" s="168">
        <f t="shared" si="34"/>
        <v>0</v>
      </c>
      <c r="L103" s="170">
        <f t="shared" si="31"/>
        <v>0</v>
      </c>
      <c r="M103" s="173">
        <f>$G103*F103*10/100</f>
        <v>0</v>
      </c>
    </row>
    <row r="104" spans="1:20" ht="13.5" thickBot="1" x14ac:dyDescent="0.25">
      <c r="A104" s="226" t="s">
        <v>261</v>
      </c>
      <c r="B104" s="229">
        <v>100</v>
      </c>
      <c r="C104" s="229">
        <v>0</v>
      </c>
      <c r="D104" s="229">
        <v>0</v>
      </c>
      <c r="E104" s="228">
        <v>0</v>
      </c>
      <c r="F104" s="252">
        <v>0.5</v>
      </c>
      <c r="G104" s="251">
        <v>1</v>
      </c>
      <c r="H104" s="254">
        <f>$G104*B104*5/100</f>
        <v>5</v>
      </c>
      <c r="I104" s="229">
        <f>$G104*C104*5/100</f>
        <v>0</v>
      </c>
      <c r="J104" s="229">
        <f>$G104*D104*5/100</f>
        <v>0</v>
      </c>
      <c r="K104" s="230">
        <f t="shared" si="34"/>
        <v>83.5</v>
      </c>
      <c r="L104" s="170">
        <f t="shared" si="31"/>
        <v>0</v>
      </c>
      <c r="M104" s="176">
        <f>$G104*F104*5/100</f>
        <v>2.5000000000000001E-2</v>
      </c>
    </row>
    <row r="105" spans="1:20" ht="13.5" thickBot="1" x14ac:dyDescent="0.25">
      <c r="A105" s="308" t="s">
        <v>159</v>
      </c>
      <c r="B105" s="309"/>
      <c r="C105" s="309"/>
      <c r="D105" s="309"/>
      <c r="E105" s="306"/>
      <c r="F105" s="309"/>
      <c r="G105" s="307"/>
      <c r="H105" s="309"/>
      <c r="I105" s="309"/>
      <c r="J105" s="309"/>
      <c r="K105" s="309"/>
      <c r="L105" s="309"/>
      <c r="M105" s="303"/>
    </row>
    <row r="106" spans="1:20" x14ac:dyDescent="0.2">
      <c r="A106" s="224" t="s">
        <v>218</v>
      </c>
      <c r="B106" s="198">
        <v>0.5</v>
      </c>
      <c r="C106" s="198">
        <v>84</v>
      </c>
      <c r="D106" s="198">
        <v>0.5</v>
      </c>
      <c r="E106" s="199">
        <v>0</v>
      </c>
      <c r="F106" s="245">
        <v>15</v>
      </c>
      <c r="G106" s="249">
        <v>2</v>
      </c>
      <c r="H106" s="247">
        <f>$G106*B106*10/100</f>
        <v>0.1</v>
      </c>
      <c r="I106" s="198">
        <f>$G106*C106*10/100</f>
        <v>16.8</v>
      </c>
      <c r="J106" s="198">
        <f>$G106*D106*10/100</f>
        <v>0.1</v>
      </c>
      <c r="K106" s="200">
        <f t="shared" ref="K106:K122" si="38">H106*16.7+I106*37.6+J106*16.7</f>
        <v>635.02</v>
      </c>
      <c r="L106" s="170">
        <f t="shared" si="31"/>
        <v>0</v>
      </c>
      <c r="M106" s="170">
        <f>$G106*F106*10/100</f>
        <v>3</v>
      </c>
    </row>
    <row r="107" spans="1:20" x14ac:dyDescent="0.2">
      <c r="A107" s="161" t="s">
        <v>263</v>
      </c>
      <c r="B107" s="202">
        <v>1.6</v>
      </c>
      <c r="C107" s="202">
        <v>21</v>
      </c>
      <c r="D107" s="202">
        <v>17</v>
      </c>
      <c r="E107" s="199">
        <v>0</v>
      </c>
      <c r="F107" s="246">
        <f>100-B107-C107-D107</f>
        <v>60.400000000000006</v>
      </c>
      <c r="G107" s="250"/>
      <c r="H107" s="248">
        <f t="shared" ref="H107:J109" si="39">$G107*B107*40/100</f>
        <v>0</v>
      </c>
      <c r="I107" s="202">
        <f t="shared" si="39"/>
        <v>0</v>
      </c>
      <c r="J107" s="202">
        <f t="shared" si="39"/>
        <v>0</v>
      </c>
      <c r="K107" s="168">
        <f t="shared" si="38"/>
        <v>0</v>
      </c>
      <c r="L107" s="170">
        <f t="shared" si="31"/>
        <v>0</v>
      </c>
      <c r="M107" s="173">
        <f>$G107*F107*40/100</f>
        <v>0</v>
      </c>
    </row>
    <row r="108" spans="1:20" x14ac:dyDescent="0.2">
      <c r="A108" s="161" t="s">
        <v>264</v>
      </c>
      <c r="B108" s="202">
        <v>4</v>
      </c>
      <c r="C108" s="202">
        <v>24</v>
      </c>
      <c r="D108" s="202">
        <v>20</v>
      </c>
      <c r="E108" s="199">
        <v>0</v>
      </c>
      <c r="F108" s="246">
        <f>100-B108-C108-D108</f>
        <v>52</v>
      </c>
      <c r="G108" s="250"/>
      <c r="H108" s="248">
        <f t="shared" si="39"/>
        <v>0</v>
      </c>
      <c r="I108" s="202">
        <f t="shared" si="39"/>
        <v>0</v>
      </c>
      <c r="J108" s="202">
        <f t="shared" si="39"/>
        <v>0</v>
      </c>
      <c r="K108" s="168">
        <f t="shared" si="38"/>
        <v>0</v>
      </c>
      <c r="L108" s="170">
        <f t="shared" si="31"/>
        <v>0</v>
      </c>
      <c r="M108" s="173">
        <f>$G108*F108*40/100</f>
        <v>0</v>
      </c>
    </row>
    <row r="109" spans="1:20" x14ac:dyDescent="0.2">
      <c r="A109" s="234" t="s">
        <v>265</v>
      </c>
      <c r="B109" s="204">
        <v>15</v>
      </c>
      <c r="C109" s="204">
        <v>15</v>
      </c>
      <c r="D109" s="204">
        <v>20</v>
      </c>
      <c r="E109" s="199">
        <v>0</v>
      </c>
      <c r="F109" s="246">
        <f>100-B109-C109-D109</f>
        <v>50</v>
      </c>
      <c r="G109" s="250"/>
      <c r="H109" s="248">
        <f t="shared" si="39"/>
        <v>0</v>
      </c>
      <c r="I109" s="202">
        <f t="shared" si="39"/>
        <v>0</v>
      </c>
      <c r="J109" s="202">
        <f t="shared" si="39"/>
        <v>0</v>
      </c>
      <c r="K109" s="168">
        <f t="shared" si="38"/>
        <v>0</v>
      </c>
      <c r="L109" s="170">
        <f t="shared" si="31"/>
        <v>0</v>
      </c>
      <c r="M109" s="173">
        <f>$G109*F109*40/100</f>
        <v>0</v>
      </c>
    </row>
    <row r="110" spans="1:20" x14ac:dyDescent="0.2">
      <c r="A110" s="201" t="s">
        <v>276</v>
      </c>
      <c r="B110" s="202">
        <v>4</v>
      </c>
      <c r="C110" s="202">
        <v>7</v>
      </c>
      <c r="D110" s="202">
        <v>15.5</v>
      </c>
      <c r="E110" s="199">
        <v>0</v>
      </c>
      <c r="F110" s="246">
        <f>100-B110-C110-D110</f>
        <v>73.5</v>
      </c>
      <c r="G110" s="250"/>
      <c r="H110" s="248">
        <f>$G110*B110*20/100</f>
        <v>0</v>
      </c>
      <c r="I110" s="202">
        <f>$G110*C110*20/100</f>
        <v>0</v>
      </c>
      <c r="J110" s="202">
        <f>$G110*D110*20/100</f>
        <v>0</v>
      </c>
      <c r="K110" s="168">
        <f t="shared" si="38"/>
        <v>0</v>
      </c>
      <c r="L110" s="170">
        <f t="shared" si="31"/>
        <v>0</v>
      </c>
      <c r="M110" s="173">
        <f>$G110*F110*20/100</f>
        <v>0</v>
      </c>
    </row>
    <row r="111" spans="1:20" x14ac:dyDescent="0.2">
      <c r="A111" s="161" t="s">
        <v>262</v>
      </c>
      <c r="B111" s="202">
        <v>1.5</v>
      </c>
      <c r="C111" s="202">
        <v>29.7</v>
      </c>
      <c r="D111" s="202">
        <v>29.5</v>
      </c>
      <c r="E111" s="199">
        <v>0</v>
      </c>
      <c r="F111" s="246">
        <v>39.299999999999997</v>
      </c>
      <c r="G111" s="250">
        <v>0.3</v>
      </c>
      <c r="H111" s="248">
        <f t="shared" ref="H111:J112" si="40">$G111*B111*40/100</f>
        <v>0.18</v>
      </c>
      <c r="I111" s="202">
        <f t="shared" si="40"/>
        <v>3.5639999999999996</v>
      </c>
      <c r="J111" s="202">
        <f t="shared" si="40"/>
        <v>3.54</v>
      </c>
      <c r="K111" s="168">
        <f t="shared" si="38"/>
        <v>196.13039999999998</v>
      </c>
      <c r="L111" s="170">
        <f t="shared" si="31"/>
        <v>0</v>
      </c>
      <c r="M111" s="173">
        <f>$G111*F111*40/100</f>
        <v>4.7159999999999993</v>
      </c>
    </row>
    <row r="112" spans="1:20" x14ac:dyDescent="0.2">
      <c r="A112" s="234" t="s">
        <v>274</v>
      </c>
      <c r="B112" s="204">
        <v>2</v>
      </c>
      <c r="C112" s="204">
        <v>25.6</v>
      </c>
      <c r="D112" s="204">
        <v>36</v>
      </c>
      <c r="E112" s="199">
        <v>0</v>
      </c>
      <c r="F112" s="246">
        <f t="shared" ref="F112:F121" si="41">100-B112-C112-D112</f>
        <v>36.400000000000006</v>
      </c>
      <c r="G112" s="623">
        <v>1.3</v>
      </c>
      <c r="H112" s="248">
        <f t="shared" si="40"/>
        <v>1.04</v>
      </c>
      <c r="I112" s="202">
        <f t="shared" si="40"/>
        <v>13.312000000000001</v>
      </c>
      <c r="J112" s="202">
        <f t="shared" si="40"/>
        <v>18.720000000000002</v>
      </c>
      <c r="K112" s="168">
        <f t="shared" si="38"/>
        <v>830.52320000000009</v>
      </c>
      <c r="L112" s="170">
        <f t="shared" si="31"/>
        <v>0</v>
      </c>
      <c r="M112" s="173">
        <f>$G112*F112*40/100</f>
        <v>18.928000000000001</v>
      </c>
    </row>
    <row r="113" spans="1:20" x14ac:dyDescent="0.2">
      <c r="A113" s="161" t="s">
        <v>266</v>
      </c>
      <c r="B113" s="202">
        <v>2.9</v>
      </c>
      <c r="C113" s="202">
        <v>12.6</v>
      </c>
      <c r="D113" s="202">
        <v>10.199999999999999</v>
      </c>
      <c r="E113" s="199">
        <v>0</v>
      </c>
      <c r="F113" s="246">
        <f t="shared" si="41"/>
        <v>74.3</v>
      </c>
      <c r="G113" s="250"/>
      <c r="H113" s="248">
        <f>$G113*B113*20/100</f>
        <v>0</v>
      </c>
      <c r="I113" s="202">
        <f>$G113*C113*20/100</f>
        <v>0</v>
      </c>
      <c r="J113" s="202">
        <f>$G113*D113*20/100</f>
        <v>0</v>
      </c>
      <c r="K113" s="168">
        <f t="shared" si="38"/>
        <v>0</v>
      </c>
      <c r="L113" s="170">
        <f t="shared" si="31"/>
        <v>0</v>
      </c>
      <c r="M113" s="173">
        <f>$G113*F113*20/100</f>
        <v>0</v>
      </c>
    </row>
    <row r="114" spans="1:20" x14ac:dyDescent="0.2">
      <c r="A114" s="234" t="s">
        <v>275</v>
      </c>
      <c r="B114" s="204">
        <v>4.9000000000000004</v>
      </c>
      <c r="C114" s="204">
        <v>16.100000000000001</v>
      </c>
      <c r="D114" s="204">
        <v>19.899999999999999</v>
      </c>
      <c r="E114" s="199">
        <v>0</v>
      </c>
      <c r="F114" s="246">
        <f t="shared" si="41"/>
        <v>59.1</v>
      </c>
      <c r="G114" s="250"/>
      <c r="H114" s="248">
        <f>$G114*B114*40/100</f>
        <v>0</v>
      </c>
      <c r="I114" s="202">
        <f>$G114*C114*40/100</f>
        <v>0</v>
      </c>
      <c r="J114" s="202">
        <f>$G114*D114*40/100</f>
        <v>0</v>
      </c>
      <c r="K114" s="168">
        <f t="shared" si="38"/>
        <v>0</v>
      </c>
      <c r="L114" s="170">
        <f t="shared" si="31"/>
        <v>0</v>
      </c>
      <c r="M114" s="173">
        <f>$G114*F114*40/100</f>
        <v>0</v>
      </c>
    </row>
    <row r="115" spans="1:20" x14ac:dyDescent="0.2">
      <c r="A115" s="234" t="s">
        <v>269</v>
      </c>
      <c r="B115" s="204">
        <v>2</v>
      </c>
      <c r="C115" s="204">
        <v>30.5</v>
      </c>
      <c r="D115" s="204">
        <v>21.5</v>
      </c>
      <c r="E115" s="199">
        <v>0</v>
      </c>
      <c r="F115" s="246">
        <f t="shared" si="41"/>
        <v>46</v>
      </c>
      <c r="G115" s="250"/>
      <c r="H115" s="248">
        <f>$G115*B115*30/100</f>
        <v>0</v>
      </c>
      <c r="I115" s="202">
        <f>$G115*C115*30/100</f>
        <v>0</v>
      </c>
      <c r="J115" s="202">
        <f>$G115*D115*30/100</f>
        <v>0</v>
      </c>
      <c r="K115" s="168">
        <f t="shared" si="38"/>
        <v>0</v>
      </c>
      <c r="L115" s="170">
        <f t="shared" si="31"/>
        <v>0</v>
      </c>
      <c r="M115" s="173">
        <f>$G115*F115*30/100</f>
        <v>0</v>
      </c>
    </row>
    <row r="116" spans="1:20" x14ac:dyDescent="0.2">
      <c r="A116" s="161" t="s">
        <v>270</v>
      </c>
      <c r="B116" s="202">
        <v>2.7</v>
      </c>
      <c r="C116" s="202">
        <v>4</v>
      </c>
      <c r="D116" s="202">
        <v>11</v>
      </c>
      <c r="E116" s="199">
        <v>0</v>
      </c>
      <c r="F116" s="246">
        <f t="shared" si="41"/>
        <v>82.3</v>
      </c>
      <c r="G116" s="250"/>
      <c r="H116" s="248">
        <f t="shared" ref="H116:J118" si="42">$G116*B116*120/100</f>
        <v>0</v>
      </c>
      <c r="I116" s="202">
        <f t="shared" si="42"/>
        <v>0</v>
      </c>
      <c r="J116" s="202">
        <f t="shared" si="42"/>
        <v>0</v>
      </c>
      <c r="K116" s="168">
        <f t="shared" si="38"/>
        <v>0</v>
      </c>
      <c r="L116" s="170">
        <f t="shared" si="31"/>
        <v>0</v>
      </c>
      <c r="M116" s="173">
        <f>$G116*F116*120/100</f>
        <v>0</v>
      </c>
    </row>
    <row r="117" spans="1:20" x14ac:dyDescent="0.2">
      <c r="A117" s="161" t="s">
        <v>271</v>
      </c>
      <c r="B117" s="202">
        <v>3</v>
      </c>
      <c r="C117" s="202">
        <v>0</v>
      </c>
      <c r="D117" s="202">
        <v>12.5</v>
      </c>
      <c r="E117" s="199">
        <v>0</v>
      </c>
      <c r="F117" s="246">
        <f t="shared" si="41"/>
        <v>84.5</v>
      </c>
      <c r="G117" s="250"/>
      <c r="H117" s="248">
        <f t="shared" si="42"/>
        <v>0</v>
      </c>
      <c r="I117" s="202">
        <f t="shared" si="42"/>
        <v>0</v>
      </c>
      <c r="J117" s="202">
        <f t="shared" si="42"/>
        <v>0</v>
      </c>
      <c r="K117" s="168">
        <f t="shared" si="38"/>
        <v>0</v>
      </c>
      <c r="L117" s="170">
        <f t="shared" si="31"/>
        <v>0</v>
      </c>
      <c r="M117" s="173">
        <f>$G117*F117*120/100</f>
        <v>0</v>
      </c>
    </row>
    <row r="118" spans="1:20" x14ac:dyDescent="0.2">
      <c r="A118" s="201" t="s">
        <v>272</v>
      </c>
      <c r="B118" s="202">
        <v>2</v>
      </c>
      <c r="C118" s="202">
        <v>32</v>
      </c>
      <c r="D118" s="202">
        <v>8.5</v>
      </c>
      <c r="E118" s="199">
        <v>0</v>
      </c>
      <c r="F118" s="246">
        <f t="shared" si="41"/>
        <v>57.5</v>
      </c>
      <c r="G118" s="250"/>
      <c r="H118" s="248">
        <f t="shared" si="42"/>
        <v>0</v>
      </c>
      <c r="I118" s="202">
        <f t="shared" si="42"/>
        <v>0</v>
      </c>
      <c r="J118" s="202">
        <f t="shared" si="42"/>
        <v>0</v>
      </c>
      <c r="K118" s="168">
        <f t="shared" si="38"/>
        <v>0</v>
      </c>
      <c r="L118" s="170">
        <f t="shared" si="31"/>
        <v>0</v>
      </c>
      <c r="M118" s="173">
        <f>$G118*F118*120/100</f>
        <v>0</v>
      </c>
    </row>
    <row r="119" spans="1:20" x14ac:dyDescent="0.2">
      <c r="A119" s="161" t="s">
        <v>273</v>
      </c>
      <c r="B119" s="202">
        <v>3.3</v>
      </c>
      <c r="C119" s="202">
        <v>33</v>
      </c>
      <c r="D119" s="202">
        <v>2.6</v>
      </c>
      <c r="E119" s="199">
        <v>0</v>
      </c>
      <c r="F119" s="246">
        <f t="shared" si="41"/>
        <v>61.1</v>
      </c>
      <c r="G119" s="250"/>
      <c r="H119" s="248">
        <f>$G119*B119*30/100</f>
        <v>0</v>
      </c>
      <c r="I119" s="202">
        <f>$G119*C119*30/100</f>
        <v>0</v>
      </c>
      <c r="J119" s="202">
        <f>$G119*D119*30/100</f>
        <v>0</v>
      </c>
      <c r="K119" s="168">
        <f t="shared" si="38"/>
        <v>0</v>
      </c>
      <c r="L119" s="170">
        <f t="shared" si="31"/>
        <v>0</v>
      </c>
      <c r="M119" s="173">
        <f>$G119*F119*30/100</f>
        <v>0</v>
      </c>
    </row>
    <row r="120" spans="1:20" x14ac:dyDescent="0.2">
      <c r="A120" s="161" t="s">
        <v>267</v>
      </c>
      <c r="B120" s="204">
        <v>24.5</v>
      </c>
      <c r="C120" s="204">
        <v>3.4</v>
      </c>
      <c r="D120" s="204">
        <v>4</v>
      </c>
      <c r="E120" s="199">
        <v>0</v>
      </c>
      <c r="F120" s="246">
        <f t="shared" si="41"/>
        <v>68.099999999999994</v>
      </c>
      <c r="G120" s="250"/>
      <c r="H120" s="248">
        <f t="shared" ref="H120:J122" si="43">$G120*B120*125/100</f>
        <v>0</v>
      </c>
      <c r="I120" s="202">
        <f t="shared" si="43"/>
        <v>0</v>
      </c>
      <c r="J120" s="202">
        <f t="shared" si="43"/>
        <v>0</v>
      </c>
      <c r="K120" s="168">
        <f t="shared" si="38"/>
        <v>0</v>
      </c>
      <c r="L120" s="170">
        <f t="shared" si="31"/>
        <v>0</v>
      </c>
      <c r="M120" s="173">
        <f>$G120*F120*125/100</f>
        <v>0</v>
      </c>
    </row>
    <row r="121" spans="1:20" x14ac:dyDescent="0.2">
      <c r="A121" s="161" t="s">
        <v>350</v>
      </c>
      <c r="B121" s="204">
        <v>5.8</v>
      </c>
      <c r="C121" s="204">
        <v>4.4000000000000004</v>
      </c>
      <c r="D121" s="204">
        <v>5</v>
      </c>
      <c r="E121" s="199">
        <v>0</v>
      </c>
      <c r="F121" s="246">
        <f t="shared" si="41"/>
        <v>84.8</v>
      </c>
      <c r="G121" s="250"/>
      <c r="H121" s="248">
        <f t="shared" si="43"/>
        <v>0</v>
      </c>
      <c r="I121" s="202">
        <f t="shared" si="43"/>
        <v>0</v>
      </c>
      <c r="J121" s="202">
        <f t="shared" si="43"/>
        <v>0</v>
      </c>
      <c r="K121" s="168">
        <f t="shared" si="38"/>
        <v>0</v>
      </c>
      <c r="L121" s="170">
        <f t="shared" si="31"/>
        <v>0</v>
      </c>
      <c r="M121" s="173">
        <f>$G121*F121*125/100</f>
        <v>0</v>
      </c>
    </row>
    <row r="122" spans="1:20" ht="13.5" thickBot="1" x14ac:dyDescent="0.25">
      <c r="A122" s="226" t="s">
        <v>268</v>
      </c>
      <c r="B122" s="235">
        <v>7.6</v>
      </c>
      <c r="C122" s="235">
        <v>0.1</v>
      </c>
      <c r="D122" s="235">
        <v>5.7</v>
      </c>
      <c r="E122" s="199">
        <v>0</v>
      </c>
      <c r="F122" s="252">
        <v>77.8</v>
      </c>
      <c r="G122" s="382"/>
      <c r="H122" s="254">
        <f t="shared" si="43"/>
        <v>0</v>
      </c>
      <c r="I122" s="229">
        <f t="shared" si="43"/>
        <v>0</v>
      </c>
      <c r="J122" s="229">
        <f t="shared" si="43"/>
        <v>0</v>
      </c>
      <c r="K122" s="230">
        <f t="shared" si="38"/>
        <v>0</v>
      </c>
      <c r="L122" s="170">
        <f t="shared" si="31"/>
        <v>0</v>
      </c>
      <c r="M122" s="176">
        <f>$G122*F122*125/100</f>
        <v>0</v>
      </c>
    </row>
    <row r="123" spans="1:20" ht="13.5" thickBot="1" x14ac:dyDescent="0.25">
      <c r="A123" s="304" t="s">
        <v>285</v>
      </c>
      <c r="B123" s="305"/>
      <c r="C123" s="305"/>
      <c r="D123" s="305"/>
      <c r="E123" s="306"/>
      <c r="F123" s="305"/>
      <c r="G123" s="307"/>
      <c r="H123" s="305"/>
      <c r="I123" s="305"/>
      <c r="J123" s="305"/>
      <c r="K123" s="305"/>
      <c r="L123" s="305"/>
      <c r="M123" s="303"/>
    </row>
    <row r="124" spans="1:20" x14ac:dyDescent="0.2">
      <c r="A124" s="197" t="s">
        <v>220</v>
      </c>
      <c r="B124" s="198">
        <v>0</v>
      </c>
      <c r="C124" s="236">
        <v>7</v>
      </c>
      <c r="D124" s="236">
        <v>28</v>
      </c>
      <c r="E124" s="197">
        <v>0</v>
      </c>
      <c r="F124" s="245">
        <f t="shared" ref="F124:F136" si="44">100-B124-C124-D124</f>
        <v>65</v>
      </c>
      <c r="G124" s="249"/>
      <c r="H124" s="247">
        <f>$G124*B124*170/100</f>
        <v>0</v>
      </c>
      <c r="I124" s="198">
        <f>$G124*C124*170/100</f>
        <v>0</v>
      </c>
      <c r="J124" s="198">
        <f>$G124*D124*170/100</f>
        <v>0</v>
      </c>
      <c r="K124" s="200">
        <f t="shared" ref="K124:K153" si="45">H124*16.7+I124*37.6+J124*16.7</f>
        <v>0</v>
      </c>
      <c r="L124" s="170">
        <f t="shared" si="31"/>
        <v>0</v>
      </c>
      <c r="M124" s="170">
        <f>$G124*F124*170/100</f>
        <v>0</v>
      </c>
    </row>
    <row r="125" spans="1:20" x14ac:dyDescent="0.2">
      <c r="A125" s="201" t="s">
        <v>221</v>
      </c>
      <c r="B125" s="225">
        <v>0.5</v>
      </c>
      <c r="C125" s="225">
        <v>8</v>
      </c>
      <c r="D125" s="225">
        <v>25</v>
      </c>
      <c r="E125" s="197">
        <v>0</v>
      </c>
      <c r="F125" s="246">
        <f t="shared" si="44"/>
        <v>66.5</v>
      </c>
      <c r="G125" s="250"/>
      <c r="H125" s="248">
        <f>$G125*B125*160/100</f>
        <v>0</v>
      </c>
      <c r="I125" s="202">
        <f>$G125*C125*160/100</f>
        <v>0</v>
      </c>
      <c r="J125" s="202">
        <f>$G125*D125*160/100</f>
        <v>0</v>
      </c>
      <c r="K125" s="168">
        <f t="shared" si="45"/>
        <v>0</v>
      </c>
      <c r="L125" s="170">
        <f t="shared" si="31"/>
        <v>0</v>
      </c>
      <c r="M125" s="173">
        <f>$G125*F125*160/100</f>
        <v>0</v>
      </c>
    </row>
    <row r="126" spans="1:20" x14ac:dyDescent="0.2">
      <c r="A126" s="161" t="s">
        <v>222</v>
      </c>
      <c r="B126" s="202">
        <v>0</v>
      </c>
      <c r="C126" s="202">
        <v>5.5</v>
      </c>
      <c r="D126" s="202">
        <v>28</v>
      </c>
      <c r="E126" s="197">
        <v>0</v>
      </c>
      <c r="F126" s="246">
        <f t="shared" si="44"/>
        <v>66.5</v>
      </c>
      <c r="G126" s="250"/>
      <c r="H126" s="248">
        <f>$G126*B126*180/100</f>
        <v>0</v>
      </c>
      <c r="I126" s="202">
        <f>$G126*C126*180/100</f>
        <v>0</v>
      </c>
      <c r="J126" s="202">
        <f>$G126*D126*180/100</f>
        <v>0</v>
      </c>
      <c r="K126" s="168">
        <f t="shared" si="45"/>
        <v>0</v>
      </c>
      <c r="L126" s="170">
        <f t="shared" si="31"/>
        <v>0</v>
      </c>
      <c r="M126" s="173">
        <f>$G126*F126*180/100</f>
        <v>0</v>
      </c>
    </row>
    <row r="127" spans="1:20" x14ac:dyDescent="0.2">
      <c r="A127" s="161" t="s">
        <v>198</v>
      </c>
      <c r="B127" s="225">
        <v>1.4</v>
      </c>
      <c r="C127" s="225">
        <v>23.3</v>
      </c>
      <c r="D127" s="225">
        <v>13.7</v>
      </c>
      <c r="E127" s="197">
        <v>0</v>
      </c>
      <c r="F127" s="246">
        <f t="shared" si="44"/>
        <v>61.599999999999994</v>
      </c>
      <c r="G127" s="250"/>
      <c r="H127" s="248">
        <f t="shared" ref="H127:J128" si="46">$G127*B127*100/100</f>
        <v>0</v>
      </c>
      <c r="I127" s="202">
        <f t="shared" si="46"/>
        <v>0</v>
      </c>
      <c r="J127" s="202">
        <f t="shared" si="46"/>
        <v>0</v>
      </c>
      <c r="K127" s="168">
        <f t="shared" si="45"/>
        <v>0</v>
      </c>
      <c r="L127" s="170">
        <f t="shared" si="31"/>
        <v>0</v>
      </c>
      <c r="M127" s="173">
        <f>$G127*F127*100/100</f>
        <v>0</v>
      </c>
    </row>
    <row r="128" spans="1:20" x14ac:dyDescent="0.2">
      <c r="A128" s="161" t="s">
        <v>199</v>
      </c>
      <c r="B128" s="225">
        <v>6.8</v>
      </c>
      <c r="C128" s="225">
        <v>19.8</v>
      </c>
      <c r="D128" s="225">
        <v>12.9</v>
      </c>
      <c r="E128" s="197">
        <v>0</v>
      </c>
      <c r="F128" s="246">
        <f t="shared" si="44"/>
        <v>60.500000000000007</v>
      </c>
      <c r="G128" s="250"/>
      <c r="H128" s="248">
        <f t="shared" si="46"/>
        <v>0</v>
      </c>
      <c r="I128" s="202">
        <f t="shared" si="46"/>
        <v>0</v>
      </c>
      <c r="J128" s="202">
        <f t="shared" si="46"/>
        <v>0</v>
      </c>
      <c r="K128" s="168">
        <f t="shared" si="45"/>
        <v>0</v>
      </c>
      <c r="L128" s="170">
        <f t="shared" si="31"/>
        <v>0</v>
      </c>
      <c r="M128" s="173">
        <f>$G128*F128*100/100</f>
        <v>0</v>
      </c>
      <c r="O128" s="49"/>
      <c r="P128" s="49"/>
      <c r="Q128" s="49"/>
      <c r="R128" s="49"/>
      <c r="S128" s="49"/>
      <c r="T128" s="49"/>
    </row>
    <row r="129" spans="1:20" x14ac:dyDescent="0.2">
      <c r="A129" s="161" t="s">
        <v>223</v>
      </c>
      <c r="B129" s="202">
        <v>0</v>
      </c>
      <c r="C129" s="202">
        <v>10</v>
      </c>
      <c r="D129" s="202">
        <v>21</v>
      </c>
      <c r="E129" s="197">
        <v>0</v>
      </c>
      <c r="F129" s="246">
        <f t="shared" si="44"/>
        <v>69</v>
      </c>
      <c r="G129" s="250"/>
      <c r="H129" s="248">
        <f>$G129*B129*160/100</f>
        <v>0</v>
      </c>
      <c r="I129" s="202">
        <f>$G129*C129*160/100</f>
        <v>0</v>
      </c>
      <c r="J129" s="202">
        <f>$G129*D129*160/100</f>
        <v>0</v>
      </c>
      <c r="K129" s="168">
        <f t="shared" si="45"/>
        <v>0</v>
      </c>
      <c r="L129" s="170">
        <f t="shared" si="31"/>
        <v>0</v>
      </c>
      <c r="M129" s="173">
        <f>$G129*F129*160/100</f>
        <v>0</v>
      </c>
      <c r="O129" s="49"/>
      <c r="P129" s="49"/>
      <c r="Q129" s="49"/>
      <c r="R129" s="49"/>
      <c r="S129" s="49"/>
      <c r="T129" s="49"/>
    </row>
    <row r="130" spans="1:20" x14ac:dyDescent="0.2">
      <c r="A130" s="161" t="s">
        <v>224</v>
      </c>
      <c r="B130" s="163">
        <v>5</v>
      </c>
      <c r="C130" s="163">
        <v>35</v>
      </c>
      <c r="D130" s="163">
        <v>20</v>
      </c>
      <c r="E130" s="197">
        <v>0</v>
      </c>
      <c r="F130" s="174">
        <f t="shared" si="44"/>
        <v>40</v>
      </c>
      <c r="G130" s="131"/>
      <c r="H130" s="166">
        <f>$G130*B130*100/100</f>
        <v>0</v>
      </c>
      <c r="I130" s="167">
        <f>$G130*C130*100/100</f>
        <v>0</v>
      </c>
      <c r="J130" s="167">
        <f>$G130*D130*100/100</f>
        <v>0</v>
      </c>
      <c r="K130" s="168">
        <f t="shared" si="45"/>
        <v>0</v>
      </c>
      <c r="L130" s="170">
        <f t="shared" si="31"/>
        <v>0</v>
      </c>
      <c r="M130" s="173">
        <f>$G130*F130*150/100</f>
        <v>0</v>
      </c>
    </row>
    <row r="131" spans="1:20" x14ac:dyDescent="0.2">
      <c r="A131" s="161" t="s">
        <v>225</v>
      </c>
      <c r="B131" s="202">
        <v>0</v>
      </c>
      <c r="C131" s="202">
        <v>4</v>
      </c>
      <c r="D131" s="202">
        <v>21</v>
      </c>
      <c r="E131" s="197">
        <v>0</v>
      </c>
      <c r="F131" s="246">
        <f t="shared" si="44"/>
        <v>75</v>
      </c>
      <c r="G131" s="256"/>
      <c r="H131" s="248">
        <f>$G131*B131*190/100</f>
        <v>0</v>
      </c>
      <c r="I131" s="202">
        <f>$G131*C131*190/100</f>
        <v>0</v>
      </c>
      <c r="J131" s="202">
        <f>$G131*D131*190/100</f>
        <v>0</v>
      </c>
      <c r="K131" s="168">
        <f t="shared" si="45"/>
        <v>0</v>
      </c>
      <c r="L131" s="170">
        <f t="shared" si="31"/>
        <v>0</v>
      </c>
      <c r="M131" s="202">
        <f>$G131*F131*190/100</f>
        <v>0</v>
      </c>
    </row>
    <row r="132" spans="1:20" x14ac:dyDescent="0.2">
      <c r="A132" s="161" t="s">
        <v>226</v>
      </c>
      <c r="B132" s="163">
        <v>3</v>
      </c>
      <c r="C132" s="163">
        <v>22</v>
      </c>
      <c r="D132" s="163">
        <v>20</v>
      </c>
      <c r="E132" s="197">
        <v>0</v>
      </c>
      <c r="F132" s="174">
        <f t="shared" si="44"/>
        <v>55</v>
      </c>
      <c r="G132" s="131">
        <v>1</v>
      </c>
      <c r="H132" s="166">
        <f>$G132*B132*120/100</f>
        <v>3.6</v>
      </c>
      <c r="I132" s="167">
        <f>$G132*C132*120/100</f>
        <v>26.4</v>
      </c>
      <c r="J132" s="167">
        <f>$G132*D132*120/100</f>
        <v>24</v>
      </c>
      <c r="K132" s="168">
        <f t="shared" si="45"/>
        <v>1453.56</v>
      </c>
      <c r="L132" s="170">
        <f t="shared" si="31"/>
        <v>0</v>
      </c>
      <c r="M132" s="173">
        <f>$G132*F132*120/100</f>
        <v>66</v>
      </c>
    </row>
    <row r="133" spans="1:20" x14ac:dyDescent="0.2">
      <c r="A133" s="161" t="s">
        <v>227</v>
      </c>
      <c r="B133" s="202">
        <v>0</v>
      </c>
      <c r="C133" s="202">
        <v>13</v>
      </c>
      <c r="D133" s="202">
        <v>22</v>
      </c>
      <c r="E133" s="197">
        <v>0</v>
      </c>
      <c r="F133" s="246">
        <f t="shared" si="44"/>
        <v>65</v>
      </c>
      <c r="G133" s="256"/>
      <c r="H133" s="248">
        <f>$G133*B133*150/100</f>
        <v>0</v>
      </c>
      <c r="I133" s="202">
        <f>$G133*C133*150/100</f>
        <v>0</v>
      </c>
      <c r="J133" s="202">
        <f>$G133*D133*150/100</f>
        <v>0</v>
      </c>
      <c r="K133" s="168">
        <f t="shared" si="45"/>
        <v>0</v>
      </c>
      <c r="L133" s="170">
        <f t="shared" si="31"/>
        <v>0</v>
      </c>
      <c r="M133" s="202">
        <f>$G133*F133*150/100</f>
        <v>0</v>
      </c>
    </row>
    <row r="134" spans="1:20" x14ac:dyDescent="0.2">
      <c r="A134" s="161" t="s">
        <v>228</v>
      </c>
      <c r="B134" s="202">
        <v>0</v>
      </c>
      <c r="C134" s="202">
        <v>12.5</v>
      </c>
      <c r="D134" s="202">
        <v>20</v>
      </c>
      <c r="E134" s="197">
        <v>0</v>
      </c>
      <c r="F134" s="246">
        <f t="shared" si="44"/>
        <v>67.5</v>
      </c>
      <c r="G134" s="256">
        <v>2</v>
      </c>
      <c r="H134" s="248">
        <f>$G134*B134*160/100</f>
        <v>0</v>
      </c>
      <c r="I134" s="202">
        <f>$G134*C134*160/100</f>
        <v>40</v>
      </c>
      <c r="J134" s="202">
        <f>$G134*D134*160/100</f>
        <v>64</v>
      </c>
      <c r="K134" s="168">
        <f t="shared" si="45"/>
        <v>2572.8000000000002</v>
      </c>
      <c r="L134" s="170">
        <f t="shared" si="31"/>
        <v>0</v>
      </c>
      <c r="M134" s="202">
        <f>$G134*F134*160/100</f>
        <v>216</v>
      </c>
    </row>
    <row r="135" spans="1:20" x14ac:dyDescent="0.2">
      <c r="A135" s="161" t="s">
        <v>229</v>
      </c>
      <c r="B135" s="225">
        <v>1</v>
      </c>
      <c r="C135" s="225">
        <v>38</v>
      </c>
      <c r="D135" s="225">
        <v>15</v>
      </c>
      <c r="E135" s="197">
        <v>0</v>
      </c>
      <c r="F135" s="246">
        <f t="shared" si="44"/>
        <v>46</v>
      </c>
      <c r="G135" s="250"/>
      <c r="H135" s="248">
        <f>$G135*B135*60/100</f>
        <v>0</v>
      </c>
      <c r="I135" s="202">
        <f>$G135*C135*60/100</f>
        <v>0</v>
      </c>
      <c r="J135" s="202">
        <f>$G135*D135*60/100</f>
        <v>0</v>
      </c>
      <c r="K135" s="168">
        <f t="shared" si="45"/>
        <v>0</v>
      </c>
      <c r="L135" s="170">
        <f t="shared" si="31"/>
        <v>0</v>
      </c>
      <c r="M135" s="173">
        <f>$G135*F135*60/100</f>
        <v>0</v>
      </c>
    </row>
    <row r="136" spans="1:20" x14ac:dyDescent="0.2">
      <c r="A136" s="161" t="s">
        <v>230</v>
      </c>
      <c r="B136" s="225">
        <v>0</v>
      </c>
      <c r="C136" s="225">
        <v>3.1</v>
      </c>
      <c r="D136" s="225">
        <v>1.5</v>
      </c>
      <c r="E136" s="197">
        <v>0</v>
      </c>
      <c r="F136" s="246">
        <f t="shared" si="44"/>
        <v>95.4</v>
      </c>
      <c r="G136" s="250"/>
      <c r="H136" s="248">
        <f>$G136*B136*15/100</f>
        <v>0</v>
      </c>
      <c r="I136" s="202">
        <f>$G136*C136*15/100</f>
        <v>0</v>
      </c>
      <c r="J136" s="202">
        <f>$G136*D136*15/100</f>
        <v>0</v>
      </c>
      <c r="K136" s="168">
        <f t="shared" si="45"/>
        <v>0</v>
      </c>
      <c r="L136" s="170">
        <f t="shared" si="31"/>
        <v>0</v>
      </c>
      <c r="M136" s="173">
        <f>$G136*F136*15/100</f>
        <v>0</v>
      </c>
    </row>
    <row r="137" spans="1:20" x14ac:dyDescent="0.2">
      <c r="A137" s="201" t="s">
        <v>231</v>
      </c>
      <c r="B137" s="202">
        <v>0</v>
      </c>
      <c r="C137" s="202">
        <v>35</v>
      </c>
      <c r="D137" s="202">
        <v>24</v>
      </c>
      <c r="E137" s="197">
        <v>0</v>
      </c>
      <c r="F137" s="246">
        <v>40.799999999999997</v>
      </c>
      <c r="G137" s="250"/>
      <c r="H137" s="248">
        <f>$G137*B137*80/100</f>
        <v>0</v>
      </c>
      <c r="I137" s="202">
        <f>$G137*C137*80/100</f>
        <v>0</v>
      </c>
      <c r="J137" s="202">
        <f>$G137*D137*80/100</f>
        <v>0</v>
      </c>
      <c r="K137" s="168">
        <f t="shared" si="45"/>
        <v>0</v>
      </c>
      <c r="L137" s="170">
        <f t="shared" si="31"/>
        <v>0</v>
      </c>
      <c r="M137" s="173">
        <f>$G137*F137*80/100</f>
        <v>0</v>
      </c>
    </row>
    <row r="138" spans="1:20" x14ac:dyDescent="0.2">
      <c r="A138" s="161" t="s">
        <v>232</v>
      </c>
      <c r="B138" s="225">
        <v>0</v>
      </c>
      <c r="C138" s="225">
        <v>5.6</v>
      </c>
      <c r="D138" s="225">
        <v>22</v>
      </c>
      <c r="E138" s="197">
        <v>0</v>
      </c>
      <c r="F138" s="246">
        <f t="shared" ref="F138:F152" si="47">100-B138-C138-D138</f>
        <v>72.400000000000006</v>
      </c>
      <c r="G138" s="256"/>
      <c r="H138" s="248">
        <f>$G138*B138*150/100</f>
        <v>0</v>
      </c>
      <c r="I138" s="202">
        <f>$G138*C138*150/100</f>
        <v>0</v>
      </c>
      <c r="J138" s="202">
        <f>$G138*D138*150/100</f>
        <v>0</v>
      </c>
      <c r="K138" s="168">
        <f t="shared" si="45"/>
        <v>0</v>
      </c>
      <c r="L138" s="170">
        <f t="shared" si="31"/>
        <v>0</v>
      </c>
      <c r="M138" s="173">
        <f>$G138*F138*150/100</f>
        <v>0</v>
      </c>
      <c r="N138" s="57"/>
    </row>
    <row r="139" spans="1:20" x14ac:dyDescent="0.2">
      <c r="A139" s="161" t="s">
        <v>277</v>
      </c>
      <c r="B139" s="225">
        <v>36</v>
      </c>
      <c r="C139" s="225">
        <v>19</v>
      </c>
      <c r="D139" s="225">
        <v>11</v>
      </c>
      <c r="E139" s="197">
        <v>0</v>
      </c>
      <c r="F139" s="246">
        <f t="shared" si="47"/>
        <v>34</v>
      </c>
      <c r="G139" s="250"/>
      <c r="H139" s="248">
        <f t="shared" ref="H139:J140" si="48">$G139*B139*250/100</f>
        <v>0</v>
      </c>
      <c r="I139" s="202">
        <f t="shared" si="48"/>
        <v>0</v>
      </c>
      <c r="J139" s="202">
        <f t="shared" si="48"/>
        <v>0</v>
      </c>
      <c r="K139" s="168">
        <f t="shared" si="45"/>
        <v>0</v>
      </c>
      <c r="L139" s="170">
        <f t="shared" si="31"/>
        <v>0</v>
      </c>
      <c r="M139" s="173">
        <f>$G139*F139*250/100</f>
        <v>0</v>
      </c>
      <c r="N139" s="73"/>
    </row>
    <row r="140" spans="1:20" x14ac:dyDescent="0.2">
      <c r="A140" s="161" t="s">
        <v>278</v>
      </c>
      <c r="B140" s="225">
        <v>33</v>
      </c>
      <c r="C140" s="225">
        <v>16</v>
      </c>
      <c r="D140" s="225">
        <v>21</v>
      </c>
      <c r="E140" s="197">
        <v>0</v>
      </c>
      <c r="F140" s="246">
        <f t="shared" si="47"/>
        <v>30</v>
      </c>
      <c r="G140" s="256"/>
      <c r="H140" s="248">
        <f t="shared" si="48"/>
        <v>0</v>
      </c>
      <c r="I140" s="202">
        <f t="shared" si="48"/>
        <v>0</v>
      </c>
      <c r="J140" s="202">
        <f t="shared" si="48"/>
        <v>0</v>
      </c>
      <c r="K140" s="168">
        <f t="shared" si="45"/>
        <v>0</v>
      </c>
      <c r="L140" s="170">
        <f t="shared" si="31"/>
        <v>0</v>
      </c>
      <c r="M140" s="202">
        <f>$G140*F140*250/100</f>
        <v>0</v>
      </c>
    </row>
    <row r="141" spans="1:20" x14ac:dyDescent="0.2">
      <c r="A141" s="161" t="s">
        <v>279</v>
      </c>
      <c r="B141" s="204">
        <v>1</v>
      </c>
      <c r="C141" s="204">
        <v>11.3</v>
      </c>
      <c r="D141" s="204">
        <v>10.3</v>
      </c>
      <c r="E141" s="197">
        <v>0</v>
      </c>
      <c r="F141" s="246">
        <f t="shared" si="47"/>
        <v>77.400000000000006</v>
      </c>
      <c r="G141" s="250"/>
      <c r="H141" s="248">
        <f>$G141*B141*180/100</f>
        <v>0</v>
      </c>
      <c r="I141" s="202">
        <f>$G141*C141*180/100</f>
        <v>0</v>
      </c>
      <c r="J141" s="202">
        <f>$G141*D141*180/100</f>
        <v>0</v>
      </c>
      <c r="K141" s="168">
        <f t="shared" si="45"/>
        <v>0</v>
      </c>
      <c r="L141" s="170">
        <f t="shared" si="31"/>
        <v>0</v>
      </c>
      <c r="M141" s="173">
        <f>$G141*F141*180/100</f>
        <v>0</v>
      </c>
    </row>
    <row r="142" spans="1:20" x14ac:dyDescent="0.2">
      <c r="A142" s="161" t="s">
        <v>233</v>
      </c>
      <c r="B142" s="163">
        <v>0.75</v>
      </c>
      <c r="C142" s="163">
        <v>11.5</v>
      </c>
      <c r="D142" s="163">
        <v>12.8</v>
      </c>
      <c r="E142" s="197">
        <v>0</v>
      </c>
      <c r="F142" s="174">
        <f t="shared" si="47"/>
        <v>74.95</v>
      </c>
      <c r="G142" s="131"/>
      <c r="H142" s="166">
        <f>$G142*B142*80/100</f>
        <v>0</v>
      </c>
      <c r="I142" s="167">
        <f>$G142*C142*80/100</f>
        <v>0</v>
      </c>
      <c r="J142" s="167">
        <f>$G142*D142*80/100</f>
        <v>0</v>
      </c>
      <c r="K142" s="168">
        <f t="shared" si="45"/>
        <v>0</v>
      </c>
      <c r="L142" s="170">
        <f t="shared" si="31"/>
        <v>0</v>
      </c>
      <c r="M142" s="173">
        <f>$G142*F142*80/100</f>
        <v>0</v>
      </c>
    </row>
    <row r="143" spans="1:20" x14ac:dyDescent="0.2">
      <c r="A143" s="161" t="s">
        <v>234</v>
      </c>
      <c r="B143" s="163">
        <v>0.75</v>
      </c>
      <c r="C143" s="163">
        <v>15</v>
      </c>
      <c r="D143" s="163">
        <v>12.8</v>
      </c>
      <c r="E143" s="197">
        <v>0</v>
      </c>
      <c r="F143" s="174">
        <f t="shared" si="47"/>
        <v>71.45</v>
      </c>
      <c r="G143" s="131">
        <v>4</v>
      </c>
      <c r="H143" s="166">
        <f>$G143*B143*100/100</f>
        <v>3</v>
      </c>
      <c r="I143" s="167">
        <f>$G143*C143*100/100</f>
        <v>60</v>
      </c>
      <c r="J143" s="167">
        <f>$G143*D143*100/100</f>
        <v>51.2</v>
      </c>
      <c r="K143" s="168">
        <f t="shared" si="45"/>
        <v>3161.14</v>
      </c>
      <c r="L143" s="170">
        <f t="shared" si="31"/>
        <v>0</v>
      </c>
      <c r="M143" s="173">
        <f>$G143*F143*100/100</f>
        <v>285.8</v>
      </c>
    </row>
    <row r="144" spans="1:20" x14ac:dyDescent="0.2">
      <c r="A144" s="161" t="s">
        <v>14</v>
      </c>
      <c r="B144" s="202">
        <v>0.75</v>
      </c>
      <c r="C144" s="202">
        <v>11.5</v>
      </c>
      <c r="D144" s="202">
        <v>12.8</v>
      </c>
      <c r="E144" s="197">
        <v>0</v>
      </c>
      <c r="F144" s="246">
        <f t="shared" si="47"/>
        <v>74.95</v>
      </c>
      <c r="G144" s="250"/>
      <c r="H144" s="248">
        <f>$G144*B144*80/100</f>
        <v>0</v>
      </c>
      <c r="I144" s="202">
        <f>$G144*C144*80/100</f>
        <v>0</v>
      </c>
      <c r="J144" s="202">
        <f>$G144*D144*80/100</f>
        <v>0</v>
      </c>
      <c r="K144" s="168">
        <f t="shared" si="45"/>
        <v>0</v>
      </c>
      <c r="L144" s="170">
        <f t="shared" si="31"/>
        <v>0</v>
      </c>
      <c r="M144" s="173">
        <f>$G144*F144*80/100</f>
        <v>0</v>
      </c>
    </row>
    <row r="145" spans="1:13" x14ac:dyDescent="0.2">
      <c r="A145" s="201" t="s">
        <v>242</v>
      </c>
      <c r="B145" s="202">
        <v>0</v>
      </c>
      <c r="C145" s="202">
        <v>2.5</v>
      </c>
      <c r="D145" s="202">
        <v>17</v>
      </c>
      <c r="E145" s="197">
        <v>0</v>
      </c>
      <c r="F145" s="246">
        <f t="shared" si="47"/>
        <v>80.5</v>
      </c>
      <c r="G145" s="250"/>
      <c r="H145" s="248">
        <f t="shared" ref="H145:J146" si="49">$G145*B145*150/100</f>
        <v>0</v>
      </c>
      <c r="I145" s="202">
        <f t="shared" si="49"/>
        <v>0</v>
      </c>
      <c r="J145" s="202">
        <f t="shared" si="49"/>
        <v>0</v>
      </c>
      <c r="K145" s="168">
        <f t="shared" si="45"/>
        <v>0</v>
      </c>
      <c r="L145" s="170">
        <f t="shared" si="31"/>
        <v>0</v>
      </c>
      <c r="M145" s="173">
        <f>$G145*F145*150/100</f>
        <v>0</v>
      </c>
    </row>
    <row r="146" spans="1:13" x14ac:dyDescent="0.2">
      <c r="A146" s="234" t="s">
        <v>243</v>
      </c>
      <c r="B146" s="204">
        <v>3.4</v>
      </c>
      <c r="C146" s="204">
        <v>2.7</v>
      </c>
      <c r="D146" s="204">
        <v>11.7</v>
      </c>
      <c r="E146" s="197">
        <v>0</v>
      </c>
      <c r="F146" s="246">
        <f t="shared" si="47"/>
        <v>82.199999999999989</v>
      </c>
      <c r="G146" s="250"/>
      <c r="H146" s="248">
        <f t="shared" si="49"/>
        <v>0</v>
      </c>
      <c r="I146" s="202">
        <f t="shared" si="49"/>
        <v>0</v>
      </c>
      <c r="J146" s="202">
        <f t="shared" si="49"/>
        <v>0</v>
      </c>
      <c r="K146" s="168">
        <f t="shared" si="45"/>
        <v>0</v>
      </c>
      <c r="L146" s="170">
        <f t="shared" si="31"/>
        <v>0</v>
      </c>
      <c r="M146" s="173">
        <f>$G146*F146*150/100</f>
        <v>0</v>
      </c>
    </row>
    <row r="147" spans="1:13" x14ac:dyDescent="0.2">
      <c r="A147" s="201" t="s">
        <v>235</v>
      </c>
      <c r="B147" s="204">
        <v>0.5</v>
      </c>
      <c r="C147" s="204">
        <v>3</v>
      </c>
      <c r="D147" s="204">
        <v>19</v>
      </c>
      <c r="E147" s="197">
        <v>0</v>
      </c>
      <c r="F147" s="246">
        <f t="shared" si="47"/>
        <v>77.5</v>
      </c>
      <c r="G147" s="250"/>
      <c r="H147" s="248">
        <f>$G147*B147*70/100</f>
        <v>0</v>
      </c>
      <c r="I147" s="202">
        <f>$G147*C147*70/100</f>
        <v>0</v>
      </c>
      <c r="J147" s="202">
        <f>$G147*D147*70/100</f>
        <v>0</v>
      </c>
      <c r="K147" s="168">
        <f t="shared" si="45"/>
        <v>0</v>
      </c>
      <c r="L147" s="170">
        <f t="shared" si="31"/>
        <v>0</v>
      </c>
      <c r="M147" s="173">
        <f>$G147*F147*70/100</f>
        <v>0</v>
      </c>
    </row>
    <row r="148" spans="1:13" x14ac:dyDescent="0.2">
      <c r="A148" s="201" t="s">
        <v>241</v>
      </c>
      <c r="B148" s="204">
        <v>0</v>
      </c>
      <c r="C148" s="204">
        <v>3</v>
      </c>
      <c r="D148" s="204">
        <v>16</v>
      </c>
      <c r="E148" s="197">
        <v>0</v>
      </c>
      <c r="F148" s="246">
        <f t="shared" si="47"/>
        <v>81</v>
      </c>
      <c r="G148" s="250"/>
      <c r="H148" s="248">
        <f>$G148*B148*150/100</f>
        <v>0</v>
      </c>
      <c r="I148" s="202">
        <f>$G148*C148*150/100</f>
        <v>0</v>
      </c>
      <c r="J148" s="202">
        <f>$G148*D148*150/100</f>
        <v>0</v>
      </c>
      <c r="K148" s="168">
        <f t="shared" si="45"/>
        <v>0</v>
      </c>
      <c r="L148" s="170">
        <f t="shared" si="31"/>
        <v>0</v>
      </c>
      <c r="M148" s="173">
        <f>$G148*F148*150/100</f>
        <v>0</v>
      </c>
    </row>
    <row r="149" spans="1:13" x14ac:dyDescent="0.2">
      <c r="A149" s="201" t="s">
        <v>236</v>
      </c>
      <c r="B149" s="204">
        <v>4.5</v>
      </c>
      <c r="C149" s="204">
        <v>2.1</v>
      </c>
      <c r="D149" s="204">
        <v>9</v>
      </c>
      <c r="E149" s="197">
        <v>0</v>
      </c>
      <c r="F149" s="246">
        <f t="shared" si="47"/>
        <v>84.4</v>
      </c>
      <c r="G149" s="250"/>
      <c r="H149" s="248">
        <f>$G149*B149*140/100</f>
        <v>0</v>
      </c>
      <c r="I149" s="202">
        <f>$G149*C149*140/100</f>
        <v>0</v>
      </c>
      <c r="J149" s="202">
        <f>$G149*D149*140/100</f>
        <v>0</v>
      </c>
      <c r="K149" s="168">
        <f t="shared" si="45"/>
        <v>0</v>
      </c>
      <c r="L149" s="170">
        <f t="shared" si="31"/>
        <v>0</v>
      </c>
      <c r="M149" s="173">
        <f>$G149*F149*140/100</f>
        <v>0</v>
      </c>
    </row>
    <row r="150" spans="1:13" x14ac:dyDescent="0.2">
      <c r="A150" s="201" t="s">
        <v>237</v>
      </c>
      <c r="B150" s="204">
        <v>0</v>
      </c>
      <c r="C150" s="204">
        <v>10.5</v>
      </c>
      <c r="D150" s="204">
        <v>22.6</v>
      </c>
      <c r="E150" s="197">
        <v>0</v>
      </c>
      <c r="F150" s="246">
        <f t="shared" si="47"/>
        <v>66.900000000000006</v>
      </c>
      <c r="G150" s="250"/>
      <c r="H150" s="248">
        <f>$G150*B150*60/100</f>
        <v>0</v>
      </c>
      <c r="I150" s="202">
        <f>$G150*C150*60/100</f>
        <v>0</v>
      </c>
      <c r="J150" s="202">
        <f>$G150*D150*60/100</f>
        <v>0</v>
      </c>
      <c r="K150" s="168">
        <f t="shared" si="45"/>
        <v>0</v>
      </c>
      <c r="L150" s="170">
        <f t="shared" si="31"/>
        <v>0</v>
      </c>
      <c r="M150" s="173">
        <f>$G150*F150*60/100</f>
        <v>0</v>
      </c>
    </row>
    <row r="151" spans="1:13" x14ac:dyDescent="0.2">
      <c r="A151" s="201" t="s">
        <v>238</v>
      </c>
      <c r="B151" s="204">
        <v>0</v>
      </c>
      <c r="C151" s="204">
        <v>11</v>
      </c>
      <c r="D151" s="204">
        <v>20</v>
      </c>
      <c r="E151" s="197">
        <v>0</v>
      </c>
      <c r="F151" s="246">
        <f t="shared" si="47"/>
        <v>69</v>
      </c>
      <c r="G151" s="250"/>
      <c r="H151" s="248">
        <f>$G151*B151*120/100</f>
        <v>0</v>
      </c>
      <c r="I151" s="202">
        <f>$G151*C151*120/100</f>
        <v>0</v>
      </c>
      <c r="J151" s="202">
        <f>$G151*D151*120/100</f>
        <v>0</v>
      </c>
      <c r="K151" s="168">
        <f t="shared" si="45"/>
        <v>0</v>
      </c>
      <c r="L151" s="170">
        <f t="shared" ref="L151:L172" si="50">$G151*E151*100/100</f>
        <v>0</v>
      </c>
      <c r="M151" s="173">
        <f>$G151*F151*120/100</f>
        <v>0</v>
      </c>
    </row>
    <row r="152" spans="1:13" x14ac:dyDescent="0.2">
      <c r="A152" s="201" t="s">
        <v>239</v>
      </c>
      <c r="B152" s="204">
        <v>0</v>
      </c>
      <c r="C152" s="204">
        <v>3.6</v>
      </c>
      <c r="D152" s="204">
        <v>22.4</v>
      </c>
      <c r="E152" s="197">
        <v>0</v>
      </c>
      <c r="F152" s="246">
        <f t="shared" si="47"/>
        <v>74</v>
      </c>
      <c r="G152" s="250"/>
      <c r="H152" s="248">
        <f>$G152*B152*200/100</f>
        <v>0</v>
      </c>
      <c r="I152" s="202">
        <f>$G152*C152*200/100</f>
        <v>0</v>
      </c>
      <c r="J152" s="202">
        <f>$G152*D152*200/100</f>
        <v>0</v>
      </c>
      <c r="K152" s="168">
        <f t="shared" si="45"/>
        <v>0</v>
      </c>
      <c r="L152" s="170">
        <f t="shared" si="50"/>
        <v>0</v>
      </c>
      <c r="M152" s="173">
        <f>$G152*F152*200/100</f>
        <v>0</v>
      </c>
    </row>
    <row r="153" spans="1:13" ht="13.5" thickBot="1" x14ac:dyDescent="0.25">
      <c r="A153" s="232" t="s">
        <v>240</v>
      </c>
      <c r="B153" s="229">
        <v>1.2</v>
      </c>
      <c r="C153" s="229">
        <v>11</v>
      </c>
      <c r="D153" s="229">
        <v>26.7</v>
      </c>
      <c r="E153" s="197">
        <v>0</v>
      </c>
      <c r="F153" s="252">
        <v>60.2</v>
      </c>
      <c r="G153" s="251"/>
      <c r="H153" s="254">
        <f>$G153*B153*80/100</f>
        <v>0</v>
      </c>
      <c r="I153" s="229">
        <f>$G153*C153*80/100</f>
        <v>0</v>
      </c>
      <c r="J153" s="229">
        <f>$G153*D153*80/100</f>
        <v>0</v>
      </c>
      <c r="K153" s="230">
        <f t="shared" si="45"/>
        <v>0</v>
      </c>
      <c r="L153" s="170">
        <f t="shared" si="50"/>
        <v>0</v>
      </c>
      <c r="M153" s="176">
        <f>$G153*F153*80/100</f>
        <v>0</v>
      </c>
    </row>
    <row r="154" spans="1:13" ht="13.5" thickBot="1" x14ac:dyDescent="0.25">
      <c r="A154" s="308" t="s">
        <v>283</v>
      </c>
      <c r="B154" s="309"/>
      <c r="C154" s="309"/>
      <c r="D154" s="309"/>
      <c r="E154" s="306"/>
      <c r="F154" s="309"/>
      <c r="G154" s="307"/>
      <c r="H154" s="309"/>
      <c r="I154" s="309"/>
      <c r="J154" s="309"/>
      <c r="K154" s="309"/>
      <c r="L154" s="309"/>
      <c r="M154" s="303"/>
    </row>
    <row r="155" spans="1:13" x14ac:dyDescent="0.2">
      <c r="A155" s="224" t="s">
        <v>218</v>
      </c>
      <c r="B155" s="170">
        <v>0.5</v>
      </c>
      <c r="C155" s="170">
        <v>84</v>
      </c>
      <c r="D155" s="170">
        <v>0.5</v>
      </c>
      <c r="E155" s="170">
        <v>0</v>
      </c>
      <c r="F155" s="171">
        <v>15</v>
      </c>
      <c r="G155" s="255"/>
      <c r="H155" s="253">
        <f>$G155*B155*10/100</f>
        <v>0</v>
      </c>
      <c r="I155" s="233">
        <f>$G155*C155*10/100</f>
        <v>0</v>
      </c>
      <c r="J155" s="233">
        <f>$G155*D155*10/100</f>
        <v>0</v>
      </c>
      <c r="K155" s="200">
        <f t="shared" ref="K155:K163" si="51">H155*16.7+I155*37.6+J155*16.7</f>
        <v>0</v>
      </c>
      <c r="L155" s="170">
        <f t="shared" si="50"/>
        <v>0</v>
      </c>
      <c r="M155" s="170">
        <f>$G155*F155*10/100</f>
        <v>0</v>
      </c>
    </row>
    <row r="156" spans="1:13" x14ac:dyDescent="0.2">
      <c r="A156" s="161" t="s">
        <v>358</v>
      </c>
      <c r="B156" s="202">
        <v>0</v>
      </c>
      <c r="C156" s="202">
        <v>99</v>
      </c>
      <c r="D156" s="202">
        <v>0</v>
      </c>
      <c r="E156" s="170">
        <v>0</v>
      </c>
      <c r="F156" s="246">
        <f t="shared" ref="F156:F163" si="52">100-B156-C156-D156</f>
        <v>1</v>
      </c>
      <c r="G156" s="256"/>
      <c r="H156" s="248">
        <f t="shared" ref="H156:J157" si="53">$G156*B156*15/100</f>
        <v>0</v>
      </c>
      <c r="I156" s="202">
        <f t="shared" si="53"/>
        <v>0</v>
      </c>
      <c r="J156" s="202">
        <f t="shared" si="53"/>
        <v>0</v>
      </c>
      <c r="K156" s="168">
        <f t="shared" si="51"/>
        <v>0</v>
      </c>
      <c r="L156" s="170">
        <f t="shared" si="50"/>
        <v>0</v>
      </c>
      <c r="M156" s="202">
        <f>$G156*F156*15/100</f>
        <v>0</v>
      </c>
    </row>
    <row r="157" spans="1:13" x14ac:dyDescent="0.2">
      <c r="A157" s="161" t="s">
        <v>155</v>
      </c>
      <c r="B157" s="202">
        <v>0.2</v>
      </c>
      <c r="C157" s="202">
        <v>86</v>
      </c>
      <c r="D157" s="202">
        <v>1</v>
      </c>
      <c r="E157" s="170">
        <v>0</v>
      </c>
      <c r="F157" s="246">
        <f t="shared" si="52"/>
        <v>12.799999999999997</v>
      </c>
      <c r="G157" s="256"/>
      <c r="H157" s="248">
        <f t="shared" si="53"/>
        <v>0</v>
      </c>
      <c r="I157" s="202">
        <f t="shared" si="53"/>
        <v>0</v>
      </c>
      <c r="J157" s="202">
        <f t="shared" si="53"/>
        <v>0</v>
      </c>
      <c r="K157" s="168">
        <f t="shared" si="51"/>
        <v>0</v>
      </c>
      <c r="L157" s="170">
        <f t="shared" si="50"/>
        <v>0</v>
      </c>
      <c r="M157" s="202">
        <f>$G157*F157*15/100</f>
        <v>0</v>
      </c>
    </row>
    <row r="158" spans="1:13" x14ac:dyDescent="0.2">
      <c r="A158" s="226" t="s">
        <v>217</v>
      </c>
      <c r="B158" s="229">
        <v>3</v>
      </c>
      <c r="C158" s="229">
        <v>81</v>
      </c>
      <c r="D158" s="229">
        <v>3</v>
      </c>
      <c r="E158" s="170">
        <v>0</v>
      </c>
      <c r="F158" s="252">
        <f t="shared" si="52"/>
        <v>13</v>
      </c>
      <c r="G158" s="257"/>
      <c r="H158" s="248">
        <f>$G158*B158*10/100</f>
        <v>0</v>
      </c>
      <c r="I158" s="202">
        <f>$G158*C158*10/100</f>
        <v>0</v>
      </c>
      <c r="J158" s="202">
        <f>$G158*D158*10/100</f>
        <v>0</v>
      </c>
      <c r="K158" s="168">
        <f t="shared" si="51"/>
        <v>0</v>
      </c>
      <c r="L158" s="170">
        <f t="shared" si="50"/>
        <v>0</v>
      </c>
      <c r="M158" s="202">
        <f>$G158*F158*10/100</f>
        <v>0</v>
      </c>
    </row>
    <row r="159" spans="1:13" x14ac:dyDescent="0.2">
      <c r="A159" s="201" t="s">
        <v>216</v>
      </c>
      <c r="B159" s="202">
        <v>3</v>
      </c>
      <c r="C159" s="202">
        <v>78</v>
      </c>
      <c r="D159" s="202">
        <v>2</v>
      </c>
      <c r="E159" s="170">
        <v>0</v>
      </c>
      <c r="F159" s="246">
        <f t="shared" si="52"/>
        <v>17</v>
      </c>
      <c r="G159" s="256"/>
      <c r="H159" s="248">
        <f>$G159*B159*15/100</f>
        <v>0</v>
      </c>
      <c r="I159" s="202">
        <f>$G159*C159*15/100</f>
        <v>0</v>
      </c>
      <c r="J159" s="202">
        <f>$G159*D159*15/100</f>
        <v>0</v>
      </c>
      <c r="K159" s="168">
        <f t="shared" si="51"/>
        <v>0</v>
      </c>
      <c r="L159" s="170">
        <f t="shared" si="50"/>
        <v>0</v>
      </c>
      <c r="M159" s="202">
        <f>$G159*F159*15/100</f>
        <v>0</v>
      </c>
    </row>
    <row r="160" spans="1:13" x14ac:dyDescent="0.2">
      <c r="A160" s="201" t="s">
        <v>156</v>
      </c>
      <c r="B160" s="202">
        <v>0</v>
      </c>
      <c r="C160" s="202">
        <v>10</v>
      </c>
      <c r="D160" s="202">
        <v>0</v>
      </c>
      <c r="E160" s="170">
        <v>0</v>
      </c>
      <c r="F160" s="246">
        <f t="shared" si="52"/>
        <v>90</v>
      </c>
      <c r="G160" s="256"/>
      <c r="H160" s="248">
        <f>$G160*B160*5/100</f>
        <v>0</v>
      </c>
      <c r="I160" s="202">
        <f>$G160*C160*5/100</f>
        <v>0</v>
      </c>
      <c r="J160" s="202">
        <f>$G160*D160*5/100</f>
        <v>0</v>
      </c>
      <c r="K160" s="168">
        <f t="shared" si="51"/>
        <v>0</v>
      </c>
      <c r="L160" s="170">
        <f t="shared" si="50"/>
        <v>0</v>
      </c>
      <c r="M160" s="202">
        <f>$G160*F160*5/100</f>
        <v>0</v>
      </c>
    </row>
    <row r="161" spans="1:13" x14ac:dyDescent="0.2">
      <c r="A161" s="161" t="s">
        <v>215</v>
      </c>
      <c r="B161" s="235">
        <v>25</v>
      </c>
      <c r="C161" s="235">
        <v>0.1</v>
      </c>
      <c r="D161" s="235">
        <v>0.4</v>
      </c>
      <c r="E161" s="228">
        <v>0.4</v>
      </c>
      <c r="F161" s="252">
        <f t="shared" si="52"/>
        <v>74.5</v>
      </c>
      <c r="G161" s="257"/>
      <c r="H161" s="254">
        <f>$G161*B161*10/100</f>
        <v>0</v>
      </c>
      <c r="I161" s="229">
        <f>$G161*C161*10/100</f>
        <v>0</v>
      </c>
      <c r="J161" s="229">
        <f>$G161*D161*10/100</f>
        <v>0</v>
      </c>
      <c r="K161" s="168">
        <f t="shared" si="51"/>
        <v>0</v>
      </c>
      <c r="L161" s="170">
        <f t="shared" si="50"/>
        <v>0</v>
      </c>
      <c r="M161" s="229">
        <f>$G161*F161*10/100</f>
        <v>0</v>
      </c>
    </row>
    <row r="162" spans="1:13" x14ac:dyDescent="0.2">
      <c r="A162" s="374" t="s">
        <v>214</v>
      </c>
      <c r="B162" s="235">
        <v>13.9</v>
      </c>
      <c r="C162" s="235">
        <v>4.58</v>
      </c>
      <c r="D162" s="235">
        <v>3.63</v>
      </c>
      <c r="E162" s="228">
        <v>0.4</v>
      </c>
      <c r="F162" s="252">
        <f t="shared" si="52"/>
        <v>77.89</v>
      </c>
      <c r="G162" s="257"/>
      <c r="H162" s="254">
        <f t="shared" ref="H162:J163" si="54">$G162*B162*30/100</f>
        <v>0</v>
      </c>
      <c r="I162" s="229">
        <f t="shared" si="54"/>
        <v>0</v>
      </c>
      <c r="J162" s="229">
        <f t="shared" si="54"/>
        <v>0</v>
      </c>
      <c r="K162" s="168">
        <f t="shared" si="51"/>
        <v>0</v>
      </c>
      <c r="L162" s="170">
        <f t="shared" si="50"/>
        <v>0</v>
      </c>
      <c r="M162" s="229">
        <f>$G162*F162*30/100</f>
        <v>0</v>
      </c>
    </row>
    <row r="163" spans="1:13" ht="13.5" thickBot="1" x14ac:dyDescent="0.25">
      <c r="A163" s="237" t="s">
        <v>157</v>
      </c>
      <c r="B163" s="235">
        <v>5</v>
      </c>
      <c r="C163" s="235">
        <v>2</v>
      </c>
      <c r="D163" s="235">
        <v>3.5</v>
      </c>
      <c r="E163" s="228">
        <v>0</v>
      </c>
      <c r="F163" s="252">
        <f t="shared" si="52"/>
        <v>89.5</v>
      </c>
      <c r="G163" s="258"/>
      <c r="H163" s="254">
        <f t="shared" si="54"/>
        <v>0</v>
      </c>
      <c r="I163" s="229">
        <f t="shared" si="54"/>
        <v>0</v>
      </c>
      <c r="J163" s="229">
        <f t="shared" si="54"/>
        <v>0</v>
      </c>
      <c r="K163" s="230">
        <f t="shared" si="51"/>
        <v>0</v>
      </c>
      <c r="L163" s="170">
        <f t="shared" si="50"/>
        <v>0</v>
      </c>
      <c r="M163" s="229">
        <f>$G163*F163*30/100</f>
        <v>0</v>
      </c>
    </row>
    <row r="164" spans="1:13" ht="13.5" thickBot="1" x14ac:dyDescent="0.25">
      <c r="A164" s="304" t="s">
        <v>158</v>
      </c>
      <c r="B164" s="305"/>
      <c r="C164" s="305"/>
      <c r="D164" s="305"/>
      <c r="E164" s="306"/>
      <c r="F164" s="305"/>
      <c r="G164" s="307"/>
      <c r="H164" s="305"/>
      <c r="I164" s="305"/>
      <c r="J164" s="305"/>
      <c r="K164" s="305"/>
      <c r="L164" s="305"/>
      <c r="M164" s="303"/>
    </row>
    <row r="165" spans="1:13" x14ac:dyDescent="0.2">
      <c r="A165" s="197" t="s">
        <v>210</v>
      </c>
      <c r="B165" s="198">
        <v>36</v>
      </c>
      <c r="C165" s="198">
        <v>8</v>
      </c>
      <c r="D165" s="198">
        <v>9.5</v>
      </c>
      <c r="E165" s="199">
        <v>1</v>
      </c>
      <c r="F165" s="245">
        <f t="shared" ref="F165:F172" si="55">100-B165-C165-D165</f>
        <v>46.5</v>
      </c>
      <c r="G165" s="249"/>
      <c r="H165" s="247">
        <f>$G165*B165*250/100</f>
        <v>0</v>
      </c>
      <c r="I165" s="198">
        <f>$G165*C165*250/100</f>
        <v>0</v>
      </c>
      <c r="J165" s="198">
        <f>$G165*D165*250/100</f>
        <v>0</v>
      </c>
      <c r="K165" s="200">
        <f t="shared" ref="K165:K172" si="56">H165*16.7+I165*37.6+J165*16.7</f>
        <v>0</v>
      </c>
      <c r="L165" s="170">
        <f t="shared" si="50"/>
        <v>0</v>
      </c>
      <c r="M165" s="198">
        <f>$G165*F165*250/100</f>
        <v>0</v>
      </c>
    </row>
    <row r="166" spans="1:13" x14ac:dyDescent="0.2">
      <c r="A166" s="201" t="s">
        <v>209</v>
      </c>
      <c r="B166" s="202">
        <v>18.8</v>
      </c>
      <c r="C166" s="202">
        <v>26.2</v>
      </c>
      <c r="D166" s="202">
        <v>11.6</v>
      </c>
      <c r="E166" s="203">
        <v>0.4</v>
      </c>
      <c r="F166" s="246">
        <f t="shared" si="55"/>
        <v>43.4</v>
      </c>
      <c r="G166" s="250"/>
      <c r="H166" s="248">
        <f t="shared" ref="H166:J167" si="57">$G166*B166*200/100</f>
        <v>0</v>
      </c>
      <c r="I166" s="202">
        <f t="shared" si="57"/>
        <v>0</v>
      </c>
      <c r="J166" s="202">
        <f t="shared" si="57"/>
        <v>0</v>
      </c>
      <c r="K166" s="168">
        <f t="shared" si="56"/>
        <v>0</v>
      </c>
      <c r="L166" s="170">
        <f t="shared" si="50"/>
        <v>0</v>
      </c>
      <c r="M166" s="202">
        <f>$G166*F166*200/100</f>
        <v>0</v>
      </c>
    </row>
    <row r="167" spans="1:13" x14ac:dyDescent="0.2">
      <c r="A167" s="201" t="s">
        <v>208</v>
      </c>
      <c r="B167" s="202">
        <v>49.9</v>
      </c>
      <c r="C167" s="202">
        <v>7.1</v>
      </c>
      <c r="D167" s="202">
        <v>12.2</v>
      </c>
      <c r="E167" s="203">
        <v>0.2</v>
      </c>
      <c r="F167" s="246">
        <f t="shared" si="55"/>
        <v>30.8</v>
      </c>
      <c r="G167" s="250"/>
      <c r="H167" s="248">
        <f t="shared" si="57"/>
        <v>0</v>
      </c>
      <c r="I167" s="202">
        <f t="shared" si="57"/>
        <v>0</v>
      </c>
      <c r="J167" s="202">
        <f t="shared" si="57"/>
        <v>0</v>
      </c>
      <c r="K167" s="168">
        <f t="shared" si="56"/>
        <v>0</v>
      </c>
      <c r="L167" s="170">
        <f t="shared" si="50"/>
        <v>0</v>
      </c>
      <c r="M167" s="202">
        <f>$G167*F167*200/100</f>
        <v>0</v>
      </c>
    </row>
    <row r="168" spans="1:13" x14ac:dyDescent="0.2">
      <c r="A168" s="201" t="s">
        <v>310</v>
      </c>
      <c r="B168" s="202">
        <v>9.19</v>
      </c>
      <c r="C168" s="202">
        <v>6</v>
      </c>
      <c r="D168" s="202">
        <v>8.17</v>
      </c>
      <c r="E168" s="203">
        <v>0.5</v>
      </c>
      <c r="F168" s="246">
        <f t="shared" si="55"/>
        <v>76.64</v>
      </c>
      <c r="G168" s="250"/>
      <c r="H168" s="248">
        <f>$G168*B168*300/100</f>
        <v>0</v>
      </c>
      <c r="I168" s="202">
        <f>$G168*C168*300/100</f>
        <v>0</v>
      </c>
      <c r="J168" s="202">
        <f>$G168*D168*300/100</f>
        <v>0</v>
      </c>
      <c r="K168" s="168">
        <f t="shared" si="56"/>
        <v>0</v>
      </c>
      <c r="L168" s="170">
        <f t="shared" si="50"/>
        <v>0</v>
      </c>
      <c r="M168" s="202">
        <f>$G168*F168*200/100</f>
        <v>0</v>
      </c>
    </row>
    <row r="169" spans="1:13" x14ac:dyDescent="0.2">
      <c r="A169" s="201" t="s">
        <v>197</v>
      </c>
      <c r="B169" s="202">
        <v>28.6</v>
      </c>
      <c r="C169" s="202">
        <v>15.8</v>
      </c>
      <c r="D169" s="202">
        <v>7.2</v>
      </c>
      <c r="E169" s="203">
        <v>0</v>
      </c>
      <c r="F169" s="246">
        <f t="shared" si="55"/>
        <v>48.400000000000006</v>
      </c>
      <c r="G169" s="250"/>
      <c r="H169" s="248">
        <f>$G169*B169*150/100</f>
        <v>0</v>
      </c>
      <c r="I169" s="202">
        <f>$G169*C169*150/100</f>
        <v>0</v>
      </c>
      <c r="J169" s="202">
        <f>$G169*D169*150/100</f>
        <v>0</v>
      </c>
      <c r="K169" s="168">
        <f t="shared" si="56"/>
        <v>0</v>
      </c>
      <c r="L169" s="170">
        <f t="shared" si="50"/>
        <v>0</v>
      </c>
      <c r="M169" s="202">
        <f>$G169*F169*150/100</f>
        <v>0</v>
      </c>
    </row>
    <row r="170" spans="1:13" x14ac:dyDescent="0.2">
      <c r="A170" s="161" t="s">
        <v>207</v>
      </c>
      <c r="B170" s="202">
        <v>4.8</v>
      </c>
      <c r="C170" s="201">
        <v>20</v>
      </c>
      <c r="D170" s="202">
        <v>12</v>
      </c>
      <c r="E170" s="203">
        <v>0.7</v>
      </c>
      <c r="F170" s="246">
        <f t="shared" si="55"/>
        <v>63.2</v>
      </c>
      <c r="G170" s="250"/>
      <c r="H170" s="248">
        <f t="shared" ref="H170:J170" si="58">$G170*B170*300/100</f>
        <v>0</v>
      </c>
      <c r="I170" s="202">
        <f t="shared" si="58"/>
        <v>0</v>
      </c>
      <c r="J170" s="202">
        <f t="shared" si="58"/>
        <v>0</v>
      </c>
      <c r="K170" s="168">
        <f t="shared" si="56"/>
        <v>0</v>
      </c>
      <c r="L170" s="170">
        <f t="shared" si="50"/>
        <v>0</v>
      </c>
      <c r="M170" s="202">
        <f>$G170*F170*300/100</f>
        <v>0</v>
      </c>
    </row>
    <row r="171" spans="1:13" x14ac:dyDescent="0.2">
      <c r="A171" s="161" t="s">
        <v>673</v>
      </c>
      <c r="B171" s="202">
        <v>25</v>
      </c>
      <c r="C171" s="201">
        <v>6</v>
      </c>
      <c r="D171" s="202">
        <v>12.3</v>
      </c>
      <c r="E171" s="203">
        <v>1.7</v>
      </c>
      <c r="F171" s="246">
        <f t="shared" si="55"/>
        <v>56.7</v>
      </c>
      <c r="G171" s="250"/>
      <c r="H171" s="248">
        <f>$G171*B171*70/100</f>
        <v>0</v>
      </c>
      <c r="I171" s="202">
        <f>$G171*C171*70/100</f>
        <v>0</v>
      </c>
      <c r="J171" s="202">
        <f>$G171*D171*70/100</f>
        <v>0</v>
      </c>
      <c r="K171" s="168">
        <f t="shared" si="56"/>
        <v>0</v>
      </c>
      <c r="L171" s="170">
        <f t="shared" si="50"/>
        <v>0</v>
      </c>
      <c r="M171" s="202">
        <f>$G171*F171*80/100</f>
        <v>0</v>
      </c>
    </row>
    <row r="172" spans="1:13" ht="13.5" thickBot="1" x14ac:dyDescent="0.25">
      <c r="A172" s="161" t="s">
        <v>154</v>
      </c>
      <c r="B172" s="204">
        <v>44</v>
      </c>
      <c r="C172" s="204">
        <v>32.5</v>
      </c>
      <c r="D172" s="204">
        <v>22.5</v>
      </c>
      <c r="E172" s="203">
        <v>0.2</v>
      </c>
      <c r="F172" s="246">
        <f t="shared" si="55"/>
        <v>1</v>
      </c>
      <c r="G172" s="251">
        <v>1</v>
      </c>
      <c r="H172" s="248">
        <f>$G172*B172*250/100</f>
        <v>110</v>
      </c>
      <c r="I172" s="202">
        <f>$G172*C172*250/100</f>
        <v>81.25</v>
      </c>
      <c r="J172" s="202">
        <f>$G172*D172*250/100</f>
        <v>56.25</v>
      </c>
      <c r="K172" s="168">
        <f t="shared" si="56"/>
        <v>5831.375</v>
      </c>
      <c r="L172" s="170">
        <f t="shared" si="50"/>
        <v>0.2</v>
      </c>
      <c r="M172" s="202">
        <f>$G172*F172*250/100</f>
        <v>2.5</v>
      </c>
    </row>
    <row r="173" spans="1:13" x14ac:dyDescent="0.2">
      <c r="A173" s="379" t="s">
        <v>312</v>
      </c>
      <c r="B173" s="451"/>
      <c r="C173" s="451"/>
      <c r="D173" s="451"/>
      <c r="E173" s="452"/>
      <c r="F173" s="451"/>
      <c r="G173" s="453"/>
      <c r="H173" s="451"/>
      <c r="I173" s="451"/>
      <c r="J173" s="451"/>
      <c r="K173" s="451"/>
      <c r="L173" s="451"/>
      <c r="M173" s="451"/>
    </row>
    <row r="174" spans="1:13" ht="13.5" thickBot="1" x14ac:dyDescent="0.25">
      <c r="A174" s="379" t="s">
        <v>311</v>
      </c>
      <c r="B174" s="451"/>
      <c r="C174" s="451"/>
      <c r="D174" s="451"/>
      <c r="E174" s="452"/>
      <c r="F174" s="451"/>
      <c r="G174" s="453"/>
      <c r="H174" s="451"/>
      <c r="I174" s="451"/>
      <c r="J174" s="451"/>
      <c r="K174" s="451"/>
      <c r="L174" s="451"/>
      <c r="M174" s="451"/>
    </row>
    <row r="175" spans="1:13" ht="13.5" thickBot="1" x14ac:dyDescent="0.25">
      <c r="A175" s="240"/>
      <c r="B175" s="241"/>
      <c r="C175" s="242"/>
      <c r="D175" s="243"/>
      <c r="E175" s="452"/>
      <c r="F175" s="281"/>
      <c r="G175" s="282"/>
      <c r="H175" s="283">
        <f>$G175*B175*E176/100</f>
        <v>0</v>
      </c>
      <c r="I175" s="284">
        <f>$G175*C175*E176/100</f>
        <v>0</v>
      </c>
      <c r="J175" s="284">
        <f>$G175*D175*E176/100</f>
        <v>0</v>
      </c>
      <c r="K175" s="285">
        <f>H175*16.7+I175*37.6+J175*16.7</f>
        <v>0</v>
      </c>
      <c r="L175" s="202">
        <f>$G175*E175*D176/100</f>
        <v>0</v>
      </c>
      <c r="M175" s="284">
        <f>$G175*F175*E176/100</f>
        <v>0</v>
      </c>
    </row>
    <row r="176" spans="1:13" ht="13.5" thickBot="1" x14ac:dyDescent="0.25">
      <c r="A176" s="681" t="s">
        <v>282</v>
      </c>
      <c r="B176" s="681"/>
      <c r="C176" s="681"/>
      <c r="D176" s="682"/>
      <c r="E176" s="456"/>
      <c r="F176" s="451"/>
      <c r="G176" s="453"/>
      <c r="H176" s="455" t="s">
        <v>8</v>
      </c>
      <c r="I176" s="455" t="s">
        <v>9</v>
      </c>
      <c r="J176" s="455" t="s">
        <v>10</v>
      </c>
      <c r="K176" s="455" t="s">
        <v>5</v>
      </c>
      <c r="L176" s="455" t="s">
        <v>144</v>
      </c>
      <c r="M176" s="455" t="s">
        <v>117</v>
      </c>
    </row>
    <row r="177" spans="1:13" x14ac:dyDescent="0.2">
      <c r="A177" s="454" t="s">
        <v>281</v>
      </c>
      <c r="B177" s="451"/>
      <c r="C177" s="451"/>
      <c r="D177" s="451"/>
      <c r="E177" s="452"/>
      <c r="F177" s="451"/>
      <c r="G177" s="453"/>
      <c r="H177" s="286">
        <f>SUM(H2:H175)</f>
        <v>696.42</v>
      </c>
      <c r="I177" s="286">
        <f>SUM(I2:I175)</f>
        <v>421.75599999999997</v>
      </c>
      <c r="J177" s="286">
        <f>SUM(J2:J175)</f>
        <v>290.96999999999997</v>
      </c>
      <c r="K177" s="286">
        <f>SUM(K2:K175)</f>
        <v>32347.438599999998</v>
      </c>
      <c r="L177" s="238">
        <f>SUM(L2:L175)</f>
        <v>11.6</v>
      </c>
      <c r="M177" s="286">
        <f>SUM(M4:M12)+SUM(M45:M172)</f>
        <v>3999.5789999999997</v>
      </c>
    </row>
  </sheetData>
  <sheetProtection password="F2E4" sheet="1" objects="1" scenarios="1" selectLockedCells="1"/>
  <mergeCells count="9">
    <mergeCell ref="A176:D176"/>
    <mergeCell ref="P21:S23"/>
    <mergeCell ref="A1:A2"/>
    <mergeCell ref="B1:E1"/>
    <mergeCell ref="H1:J1"/>
    <mergeCell ref="P2:S3"/>
    <mergeCell ref="P7:S18"/>
    <mergeCell ref="A3:M3"/>
    <mergeCell ref="A21:M21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234"/>
  <sheetViews>
    <sheetView topLeftCell="J1" workbookViewId="0">
      <pane ySplit="1" topLeftCell="A215" activePane="bottomLeft" state="frozen"/>
      <selection pane="bottomLeft" activeCell="B159" sqref="B159"/>
    </sheetView>
  </sheetViews>
  <sheetFormatPr defaultRowHeight="12.75" x14ac:dyDescent="0.2"/>
  <cols>
    <col min="1" max="1" width="35.7109375" customWidth="1"/>
    <col min="2" max="2" width="13.7109375" customWidth="1"/>
    <col min="3" max="3" width="7.140625" customWidth="1"/>
    <col min="4" max="4" width="4.140625" customWidth="1"/>
    <col min="6" max="6" width="4" customWidth="1"/>
    <col min="8" max="8" width="4" customWidth="1"/>
    <col min="10" max="10" width="3.42578125" customWidth="1"/>
    <col min="11" max="11" width="10" customWidth="1"/>
    <col min="12" max="12" width="2.85546875" customWidth="1"/>
    <col min="14" max="14" width="3.7109375" customWidth="1"/>
    <col min="15" max="15" width="10" customWidth="1"/>
    <col min="16" max="16" width="3.28515625" customWidth="1"/>
    <col min="18" max="18" width="4" customWidth="1"/>
    <col min="20" max="20" width="4" customWidth="1"/>
    <col min="22" max="22" width="4" customWidth="1"/>
    <col min="24" max="24" width="4.28515625" customWidth="1"/>
    <col min="26" max="26" width="3.85546875" customWidth="1"/>
    <col min="28" max="28" width="3.85546875" customWidth="1"/>
    <col min="30" max="30" width="19.85546875" customWidth="1"/>
    <col min="31" max="110" width="9.140625" style="548"/>
  </cols>
  <sheetData>
    <row r="1" spans="1:232" ht="45.75" thickBot="1" x14ac:dyDescent="0.25">
      <c r="A1" s="558" t="s">
        <v>656</v>
      </c>
      <c r="B1" s="493" t="s">
        <v>374</v>
      </c>
      <c r="C1" s="494" t="s">
        <v>375</v>
      </c>
      <c r="D1" s="495" t="s">
        <v>376</v>
      </c>
      <c r="E1" s="494" t="s">
        <v>376</v>
      </c>
      <c r="F1" s="495" t="s">
        <v>377</v>
      </c>
      <c r="G1" s="494" t="s">
        <v>378</v>
      </c>
      <c r="H1" s="496" t="s">
        <v>379</v>
      </c>
      <c r="I1" s="494" t="s">
        <v>379</v>
      </c>
      <c r="J1" s="497" t="s">
        <v>636</v>
      </c>
      <c r="K1" s="498" t="s">
        <v>381</v>
      </c>
      <c r="L1" s="497" t="s">
        <v>382</v>
      </c>
      <c r="M1" s="498" t="s">
        <v>383</v>
      </c>
      <c r="N1" s="497" t="s">
        <v>384</v>
      </c>
      <c r="O1" s="494" t="s">
        <v>385</v>
      </c>
      <c r="P1" s="497" t="s">
        <v>10</v>
      </c>
      <c r="Q1" s="494" t="s">
        <v>386</v>
      </c>
      <c r="R1" s="497" t="s">
        <v>387</v>
      </c>
      <c r="S1" s="498" t="s">
        <v>388</v>
      </c>
      <c r="T1" s="497" t="s">
        <v>389</v>
      </c>
      <c r="U1" s="498" t="s">
        <v>390</v>
      </c>
      <c r="V1" s="497" t="s">
        <v>391</v>
      </c>
      <c r="W1" s="498" t="s">
        <v>392</v>
      </c>
      <c r="X1" s="497" t="s">
        <v>393</v>
      </c>
      <c r="Y1" s="498" t="s">
        <v>394</v>
      </c>
      <c r="Z1" s="497" t="s">
        <v>395</v>
      </c>
      <c r="AA1" s="498" t="s">
        <v>396</v>
      </c>
      <c r="AB1" s="497" t="s">
        <v>397</v>
      </c>
      <c r="AC1" s="498" t="s">
        <v>398</v>
      </c>
      <c r="AD1" s="501" t="s">
        <v>399</v>
      </c>
      <c r="AE1" s="536"/>
      <c r="AF1" s="537"/>
      <c r="AG1" s="538"/>
      <c r="AH1" s="539"/>
      <c r="AI1" s="538"/>
      <c r="AJ1" s="539"/>
      <c r="AK1" s="538"/>
      <c r="AL1" s="540"/>
      <c r="AM1" s="538"/>
      <c r="AN1" s="541"/>
      <c r="AO1" s="542"/>
      <c r="AP1" s="541"/>
      <c r="AQ1" s="542"/>
      <c r="AR1" s="541"/>
      <c r="AS1" s="538"/>
      <c r="AT1" s="541"/>
      <c r="AU1" s="538"/>
      <c r="AV1" s="541"/>
      <c r="AW1" s="542"/>
      <c r="AX1" s="541"/>
      <c r="AY1" s="542"/>
      <c r="AZ1" s="541"/>
      <c r="BA1" s="542"/>
      <c r="BB1" s="541"/>
      <c r="BC1" s="542"/>
      <c r="BD1" s="541"/>
      <c r="BE1" s="542"/>
      <c r="BF1" s="541"/>
      <c r="BG1" s="542"/>
      <c r="BH1" s="543"/>
      <c r="BI1" s="536"/>
      <c r="BJ1" s="537"/>
      <c r="BK1" s="538"/>
      <c r="BL1" s="539"/>
      <c r="BM1" s="538"/>
      <c r="BN1" s="539"/>
      <c r="BO1" s="538"/>
      <c r="BP1" s="540"/>
      <c r="BQ1" s="538"/>
      <c r="BR1" s="541"/>
      <c r="BS1" s="542"/>
      <c r="BT1" s="541"/>
      <c r="BU1" s="542"/>
      <c r="BV1" s="541"/>
      <c r="BW1" s="538"/>
      <c r="BX1" s="541"/>
      <c r="BY1" s="538"/>
      <c r="BZ1" s="541"/>
      <c r="CA1" s="542"/>
      <c r="CB1" s="541"/>
      <c r="CC1" s="542"/>
      <c r="CD1" s="541"/>
      <c r="CE1" s="542"/>
      <c r="CF1" s="541"/>
      <c r="CG1" s="542"/>
      <c r="CH1" s="541"/>
      <c r="CI1" s="542"/>
      <c r="CJ1" s="541"/>
      <c r="CK1" s="542"/>
      <c r="CL1" s="543"/>
      <c r="CM1" s="536"/>
      <c r="CN1" s="537"/>
      <c r="CO1" s="538"/>
      <c r="CP1" s="539"/>
      <c r="CQ1" s="538"/>
      <c r="CR1" s="539"/>
      <c r="CS1" s="538"/>
      <c r="CT1" s="540"/>
      <c r="CU1" s="538"/>
      <c r="CV1" s="541"/>
      <c r="CW1" s="542"/>
      <c r="CX1" s="541"/>
      <c r="CY1" s="542"/>
      <c r="CZ1" s="541"/>
      <c r="DA1" s="538"/>
      <c r="DB1" s="541"/>
      <c r="DC1" s="538"/>
      <c r="DD1" s="541"/>
      <c r="DE1" s="542"/>
      <c r="DF1" s="541"/>
      <c r="DG1" s="534"/>
      <c r="DH1" s="497"/>
      <c r="DI1" s="498"/>
      <c r="DJ1" s="497"/>
      <c r="DK1" s="498"/>
      <c r="DL1" s="497"/>
      <c r="DM1" s="498"/>
      <c r="DN1" s="497"/>
      <c r="DO1" s="498"/>
      <c r="DP1" s="501"/>
      <c r="DQ1" s="492"/>
      <c r="DR1" s="493"/>
      <c r="DS1" s="494"/>
      <c r="DT1" s="495"/>
      <c r="DU1" s="494"/>
      <c r="DV1" s="495"/>
      <c r="DW1" s="494"/>
      <c r="DX1" s="496"/>
      <c r="DY1" s="494"/>
      <c r="DZ1" s="497"/>
      <c r="EA1" s="498"/>
      <c r="EB1" s="497"/>
      <c r="EC1" s="498"/>
      <c r="ED1" s="499"/>
      <c r="EE1" s="500"/>
      <c r="EF1" s="497"/>
      <c r="EG1" s="494"/>
      <c r="EH1" s="497"/>
      <c r="EI1" s="498"/>
      <c r="EJ1" s="497"/>
      <c r="EK1" s="498"/>
      <c r="EL1" s="497"/>
      <c r="EM1" s="498"/>
      <c r="EN1" s="497"/>
      <c r="EO1" s="498"/>
      <c r="EP1" s="497"/>
      <c r="EQ1" s="498"/>
      <c r="ER1" s="497"/>
      <c r="ES1" s="498"/>
      <c r="ET1" s="501"/>
      <c r="EU1" s="492"/>
      <c r="EV1" s="493"/>
      <c r="EW1" s="494"/>
      <c r="EX1" s="495"/>
      <c r="EY1" s="494"/>
      <c r="EZ1" s="495"/>
      <c r="FA1" s="494"/>
      <c r="FB1" s="496"/>
      <c r="FC1" s="494"/>
      <c r="FD1" s="497"/>
      <c r="FE1" s="498"/>
      <c r="FF1" s="497"/>
      <c r="FG1" s="498"/>
      <c r="FH1" s="499"/>
      <c r="FI1" s="500"/>
      <c r="FJ1" s="497"/>
      <c r="FK1" s="494"/>
      <c r="FL1" s="497"/>
      <c r="FM1" s="498"/>
      <c r="FN1" s="497"/>
      <c r="FO1" s="498"/>
      <c r="FP1" s="497"/>
      <c r="FQ1" s="498"/>
      <c r="FR1" s="497"/>
      <c r="FS1" s="498"/>
      <c r="FT1" s="497"/>
      <c r="FU1" s="498"/>
      <c r="FV1" s="497"/>
      <c r="FW1" s="498"/>
      <c r="FX1" s="501"/>
      <c r="FY1" s="492"/>
      <c r="FZ1" s="493"/>
      <c r="GA1" s="494"/>
      <c r="GB1" s="495"/>
      <c r="GC1" s="494"/>
      <c r="GD1" s="495"/>
      <c r="GE1" s="494"/>
      <c r="GF1" s="496"/>
      <c r="GG1" s="494"/>
      <c r="GH1" s="497"/>
      <c r="GI1" s="498"/>
      <c r="GJ1" s="497"/>
      <c r="GK1" s="498"/>
      <c r="GL1" s="499"/>
      <c r="GM1" s="500"/>
      <c r="GN1" s="497"/>
      <c r="GO1" s="494"/>
      <c r="GP1" s="497"/>
      <c r="GQ1" s="498"/>
      <c r="GR1" s="497"/>
      <c r="GS1" s="498"/>
      <c r="GT1" s="497"/>
      <c r="GU1" s="498"/>
      <c r="GV1" s="497"/>
      <c r="GW1" s="498"/>
      <c r="GX1" s="497"/>
      <c r="GY1" s="498"/>
      <c r="GZ1" s="497"/>
      <c r="HA1" s="498"/>
      <c r="HB1" s="501"/>
      <c r="HC1" s="492"/>
      <c r="HD1" s="493"/>
      <c r="HE1" s="494"/>
      <c r="HF1" s="495"/>
      <c r="HG1" s="494"/>
      <c r="HH1" s="495"/>
      <c r="HI1" s="494"/>
      <c r="HJ1" s="496"/>
      <c r="HK1" s="494"/>
      <c r="HL1" s="497"/>
      <c r="HM1" s="498"/>
      <c r="HN1" s="497"/>
      <c r="HO1" s="498"/>
      <c r="HP1" s="499"/>
      <c r="HQ1" s="500"/>
      <c r="HR1" s="497"/>
      <c r="HS1" s="494"/>
      <c r="HT1" s="497"/>
      <c r="HU1" s="498"/>
      <c r="HV1" s="497"/>
      <c r="HW1" s="498"/>
      <c r="HX1" s="497"/>
    </row>
    <row r="2" spans="1:232" ht="13.5" thickBot="1" x14ac:dyDescent="0.25">
      <c r="A2" s="502" t="s">
        <v>400</v>
      </c>
      <c r="B2" s="503"/>
      <c r="C2" s="504">
        <v>100</v>
      </c>
      <c r="D2" s="505">
        <v>0</v>
      </c>
      <c r="E2" s="506">
        <f t="shared" ref="E2:E65" si="0">D2*B2/100</f>
        <v>0</v>
      </c>
      <c r="F2" s="505">
        <v>2.8</v>
      </c>
      <c r="G2" s="506">
        <f t="shared" ref="G2:G65" si="1">F2*B2/100</f>
        <v>0</v>
      </c>
      <c r="H2" s="505">
        <v>1.22</v>
      </c>
      <c r="I2" s="506">
        <f t="shared" ref="I2:I65" si="2">H2*B2/100</f>
        <v>0</v>
      </c>
      <c r="J2" s="505">
        <v>4.7</v>
      </c>
      <c r="K2" s="506">
        <f t="shared" ref="K2:K65" si="3">J2*B2/100</f>
        <v>0</v>
      </c>
      <c r="L2" s="505">
        <v>54</v>
      </c>
      <c r="M2" s="506">
        <f t="shared" ref="M2:M65" si="4">L2*B2/100</f>
        <v>0</v>
      </c>
      <c r="N2" s="505">
        <v>429</v>
      </c>
      <c r="O2" s="506">
        <f t="shared" ref="O2:O33" si="5">N2*B2/100</f>
        <v>0</v>
      </c>
      <c r="P2" s="505">
        <v>523</v>
      </c>
      <c r="Q2" s="506">
        <f t="shared" ref="Q2:Q65" si="6">P2*B2/100</f>
        <v>0</v>
      </c>
      <c r="R2" s="505">
        <v>0.76</v>
      </c>
      <c r="S2" s="506">
        <f t="shared" ref="S2:S65" si="7">R2*B2/100</f>
        <v>0</v>
      </c>
      <c r="T2" s="505">
        <v>0.14000000000000001</v>
      </c>
      <c r="U2" s="506">
        <f t="shared" ref="U2:U65" si="8">T2*B2/100</f>
        <v>0</v>
      </c>
      <c r="V2" s="505">
        <v>1</v>
      </c>
      <c r="W2" s="506">
        <f t="shared" ref="W2:W65" si="9">V2*B2/100</f>
        <v>0</v>
      </c>
      <c r="X2" s="505">
        <v>0.12</v>
      </c>
      <c r="Y2" s="506">
        <f t="shared" ref="Y2:Y65" si="10">X2*B2/100</f>
        <v>0</v>
      </c>
      <c r="Z2" s="505">
        <v>0</v>
      </c>
      <c r="AA2" s="506">
        <f t="shared" ref="AA2:AA65" si="11">Z2*B2/100</f>
        <v>0</v>
      </c>
      <c r="AB2" s="505">
        <v>0</v>
      </c>
      <c r="AC2" s="506">
        <f t="shared" ref="AC2:AC65" si="12">AB2*B2/100</f>
        <v>0</v>
      </c>
      <c r="AD2" s="507" t="s">
        <v>401</v>
      </c>
      <c r="AE2" s="543"/>
      <c r="AF2" s="544"/>
      <c r="AG2" s="545"/>
      <c r="AH2" s="546"/>
      <c r="AI2" s="543"/>
      <c r="AJ2" s="546"/>
      <c r="AK2" s="543"/>
      <c r="AL2" s="546"/>
      <c r="AM2" s="543"/>
      <c r="AN2" s="546"/>
      <c r="AO2" s="543"/>
      <c r="AP2" s="546"/>
      <c r="AQ2" s="543"/>
      <c r="AR2" s="546"/>
      <c r="AS2" s="543"/>
      <c r="AT2" s="546"/>
      <c r="AU2" s="543"/>
      <c r="AV2" s="546"/>
      <c r="AW2" s="543"/>
      <c r="AX2" s="546"/>
      <c r="AY2" s="543"/>
      <c r="AZ2" s="546"/>
      <c r="BA2" s="543"/>
      <c r="BB2" s="546"/>
      <c r="BC2" s="543"/>
      <c r="BD2" s="546"/>
      <c r="BE2" s="543"/>
      <c r="BF2" s="546"/>
      <c r="BG2" s="543"/>
      <c r="BH2" s="547"/>
      <c r="BI2" s="543"/>
      <c r="BJ2" s="544"/>
      <c r="BK2" s="545"/>
      <c r="BL2" s="546"/>
      <c r="BM2" s="543"/>
      <c r="BN2" s="546"/>
      <c r="BO2" s="543"/>
      <c r="BP2" s="546"/>
      <c r="BQ2" s="543"/>
      <c r="BR2" s="546"/>
      <c r="BS2" s="543"/>
      <c r="BT2" s="546"/>
      <c r="BU2" s="543"/>
      <c r="BV2" s="546"/>
      <c r="BW2" s="543"/>
      <c r="BX2" s="546"/>
      <c r="BY2" s="543"/>
      <c r="BZ2" s="546"/>
      <c r="CA2" s="543"/>
      <c r="CB2" s="546"/>
      <c r="CC2" s="543"/>
      <c r="CD2" s="546"/>
      <c r="CE2" s="543"/>
      <c r="CF2" s="546"/>
      <c r="CG2" s="543"/>
      <c r="CH2" s="546"/>
      <c r="CI2" s="543"/>
      <c r="CJ2" s="546"/>
      <c r="CK2" s="543"/>
      <c r="CL2" s="547"/>
      <c r="CM2" s="543"/>
      <c r="CN2" s="544"/>
      <c r="CO2" s="545"/>
      <c r="CP2" s="546"/>
      <c r="CQ2" s="543"/>
      <c r="CR2" s="546"/>
      <c r="CS2" s="543"/>
      <c r="CT2" s="546"/>
      <c r="CU2" s="543"/>
      <c r="CV2" s="546"/>
      <c r="CW2" s="543"/>
      <c r="CX2" s="546"/>
      <c r="CY2" s="543"/>
      <c r="CZ2" s="546"/>
      <c r="DA2" s="543"/>
      <c r="DB2" s="546"/>
      <c r="DC2" s="543"/>
      <c r="DD2" s="546"/>
      <c r="DE2" s="543"/>
      <c r="DF2" s="546"/>
      <c r="DG2" s="535"/>
      <c r="DH2" s="505"/>
      <c r="DI2" s="506"/>
      <c r="DJ2" s="505"/>
      <c r="DK2" s="506"/>
      <c r="DL2" s="505"/>
      <c r="DM2" s="506"/>
      <c r="DN2" s="505"/>
      <c r="DO2" s="506"/>
      <c r="DP2" s="507"/>
      <c r="DQ2" s="502"/>
      <c r="DR2" s="503"/>
      <c r="DS2" s="504"/>
      <c r="DT2" s="505"/>
      <c r="DU2" s="506"/>
      <c r="DV2" s="505"/>
      <c r="DW2" s="506"/>
      <c r="DX2" s="505"/>
      <c r="DY2" s="506"/>
      <c r="DZ2" s="505"/>
      <c r="EA2" s="506"/>
      <c r="EB2" s="505"/>
      <c r="EC2" s="506"/>
      <c r="ED2" s="505"/>
      <c r="EE2" s="506"/>
      <c r="EF2" s="505"/>
      <c r="EG2" s="506"/>
      <c r="EH2" s="505"/>
      <c r="EI2" s="506"/>
      <c r="EJ2" s="505"/>
      <c r="EK2" s="506"/>
      <c r="EL2" s="505"/>
      <c r="EM2" s="506"/>
      <c r="EN2" s="505"/>
      <c r="EO2" s="506"/>
      <c r="EP2" s="505"/>
      <c r="EQ2" s="506"/>
      <c r="ER2" s="505"/>
      <c r="ES2" s="506"/>
      <c r="ET2" s="507"/>
      <c r="EU2" s="502"/>
      <c r="EV2" s="503"/>
      <c r="EW2" s="504"/>
      <c r="EX2" s="505"/>
      <c r="EY2" s="506"/>
      <c r="EZ2" s="505"/>
      <c r="FA2" s="506"/>
      <c r="FB2" s="505"/>
      <c r="FC2" s="506"/>
      <c r="FD2" s="505"/>
      <c r="FE2" s="506"/>
      <c r="FF2" s="505"/>
      <c r="FG2" s="506"/>
      <c r="FH2" s="505"/>
      <c r="FI2" s="506"/>
      <c r="FJ2" s="505"/>
      <c r="FK2" s="506"/>
      <c r="FL2" s="505"/>
      <c r="FM2" s="506"/>
      <c r="FN2" s="505"/>
      <c r="FO2" s="506"/>
      <c r="FP2" s="505"/>
      <c r="FQ2" s="506"/>
      <c r="FR2" s="505"/>
      <c r="FS2" s="506"/>
      <c r="FT2" s="505"/>
      <c r="FU2" s="506"/>
      <c r="FV2" s="505"/>
      <c r="FW2" s="506"/>
      <c r="FX2" s="507"/>
      <c r="FY2" s="502"/>
      <c r="FZ2" s="503"/>
      <c r="GA2" s="504"/>
      <c r="GB2" s="505"/>
      <c r="GC2" s="506"/>
      <c r="GD2" s="505"/>
      <c r="GE2" s="506"/>
      <c r="GF2" s="505"/>
      <c r="GG2" s="506"/>
      <c r="GH2" s="505"/>
      <c r="GI2" s="506"/>
      <c r="GJ2" s="505"/>
      <c r="GK2" s="506"/>
      <c r="GL2" s="505"/>
      <c r="GM2" s="506"/>
      <c r="GN2" s="505"/>
      <c r="GO2" s="506"/>
      <c r="GP2" s="505"/>
      <c r="GQ2" s="506"/>
      <c r="GR2" s="505"/>
      <c r="GS2" s="506"/>
      <c r="GT2" s="505"/>
      <c r="GU2" s="506"/>
      <c r="GV2" s="505"/>
      <c r="GW2" s="506"/>
      <c r="GX2" s="505"/>
      <c r="GY2" s="506"/>
      <c r="GZ2" s="505"/>
      <c r="HA2" s="506"/>
      <c r="HB2" s="507"/>
      <c r="HC2" s="502"/>
      <c r="HD2" s="503"/>
      <c r="HE2" s="504"/>
      <c r="HF2" s="505"/>
      <c r="HG2" s="506"/>
      <c r="HH2" s="505"/>
      <c r="HI2" s="506"/>
      <c r="HJ2" s="505"/>
      <c r="HK2" s="506"/>
      <c r="HL2" s="505"/>
      <c r="HM2" s="506"/>
      <c r="HN2" s="505"/>
      <c r="HO2" s="506"/>
      <c r="HP2" s="505"/>
      <c r="HQ2" s="506"/>
      <c r="HR2" s="505"/>
      <c r="HS2" s="506"/>
      <c r="HT2" s="505"/>
      <c r="HU2" s="506"/>
      <c r="HV2" s="505"/>
      <c r="HW2" s="506"/>
      <c r="HX2" s="505"/>
    </row>
    <row r="3" spans="1:232" ht="13.5" thickBot="1" x14ac:dyDescent="0.25">
      <c r="A3" s="502" t="s">
        <v>402</v>
      </c>
      <c r="B3" s="508"/>
      <c r="C3" s="504">
        <v>100</v>
      </c>
      <c r="D3" s="505">
        <v>0</v>
      </c>
      <c r="E3" s="506">
        <f t="shared" si="0"/>
        <v>0</v>
      </c>
      <c r="F3" s="505">
        <v>6.4</v>
      </c>
      <c r="G3" s="506">
        <f t="shared" si="1"/>
        <v>0</v>
      </c>
      <c r="H3" s="505">
        <v>0.46</v>
      </c>
      <c r="I3" s="506">
        <f t="shared" si="2"/>
        <v>0</v>
      </c>
      <c r="J3" s="505">
        <v>6</v>
      </c>
      <c r="K3" s="506">
        <f t="shared" si="3"/>
        <v>0</v>
      </c>
      <c r="L3" s="505">
        <v>35</v>
      </c>
      <c r="M3" s="506">
        <f t="shared" si="4"/>
        <v>0</v>
      </c>
      <c r="N3" s="505">
        <v>370</v>
      </c>
      <c r="O3" s="506">
        <f t="shared" si="5"/>
        <v>0</v>
      </c>
      <c r="P3" s="505">
        <v>290</v>
      </c>
      <c r="Q3" s="506">
        <f t="shared" si="6"/>
        <v>0</v>
      </c>
      <c r="R3" s="505">
        <v>0.7</v>
      </c>
      <c r="S3" s="506">
        <f t="shared" si="7"/>
        <v>0</v>
      </c>
      <c r="T3" s="505">
        <v>1</v>
      </c>
      <c r="U3" s="506">
        <f t="shared" si="8"/>
        <v>0</v>
      </c>
      <c r="V3" s="505">
        <v>10</v>
      </c>
      <c r="W3" s="506">
        <f t="shared" si="9"/>
        <v>0</v>
      </c>
      <c r="X3" s="505">
        <v>0.22</v>
      </c>
      <c r="Y3" s="506">
        <f t="shared" si="10"/>
        <v>0</v>
      </c>
      <c r="Z3" s="505">
        <v>0</v>
      </c>
      <c r="AA3" s="506">
        <f t="shared" si="11"/>
        <v>0</v>
      </c>
      <c r="AB3" s="505">
        <v>0</v>
      </c>
      <c r="AC3" s="506">
        <f t="shared" si="12"/>
        <v>0</v>
      </c>
      <c r="AD3" s="507" t="s">
        <v>401</v>
      </c>
      <c r="AE3" s="543"/>
      <c r="AF3" s="544"/>
      <c r="AG3" s="545"/>
      <c r="AH3" s="546"/>
      <c r="AI3" s="543"/>
      <c r="AJ3" s="546"/>
      <c r="AK3" s="543"/>
      <c r="AL3" s="546"/>
      <c r="AM3" s="543"/>
      <c r="AN3" s="546"/>
      <c r="AO3" s="543"/>
      <c r="AP3" s="546"/>
      <c r="AQ3" s="543"/>
      <c r="AR3" s="546"/>
      <c r="AS3" s="543"/>
      <c r="AT3" s="546"/>
      <c r="AU3" s="543"/>
      <c r="AV3" s="546"/>
      <c r="AW3" s="543"/>
      <c r="AX3" s="546"/>
      <c r="AY3" s="543"/>
      <c r="AZ3" s="546"/>
      <c r="BA3" s="543"/>
      <c r="BB3" s="546"/>
      <c r="BC3" s="543"/>
      <c r="BD3" s="546"/>
      <c r="BE3" s="543"/>
      <c r="BF3" s="546"/>
      <c r="BG3" s="543"/>
      <c r="BH3" s="547"/>
      <c r="BI3" s="543"/>
      <c r="BJ3" s="544"/>
      <c r="BK3" s="545"/>
      <c r="BL3" s="546"/>
      <c r="BM3" s="543"/>
      <c r="BN3" s="546"/>
      <c r="BO3" s="543"/>
      <c r="BP3" s="546"/>
      <c r="BQ3" s="543"/>
      <c r="BR3" s="546"/>
      <c r="BS3" s="543"/>
      <c r="BT3" s="546"/>
      <c r="BU3" s="543"/>
      <c r="BV3" s="546"/>
      <c r="BW3" s="543"/>
      <c r="BX3" s="546"/>
      <c r="BY3" s="543"/>
      <c r="BZ3" s="546"/>
      <c r="CA3" s="543"/>
      <c r="CB3" s="546"/>
      <c r="CC3" s="543"/>
      <c r="CD3" s="546"/>
      <c r="CE3" s="543"/>
      <c r="CF3" s="546"/>
      <c r="CG3" s="543"/>
      <c r="CH3" s="546"/>
      <c r="CI3" s="543"/>
      <c r="CJ3" s="546"/>
      <c r="CK3" s="543"/>
      <c r="CL3" s="547"/>
      <c r="CM3" s="543"/>
      <c r="CN3" s="544"/>
      <c r="CO3" s="545"/>
      <c r="CP3" s="546"/>
      <c r="CQ3" s="543"/>
      <c r="CR3" s="546"/>
      <c r="CS3" s="543"/>
      <c r="CT3" s="546"/>
      <c r="CU3" s="543"/>
      <c r="CV3" s="546"/>
      <c r="CW3" s="543"/>
      <c r="CX3" s="546"/>
      <c r="CY3" s="543"/>
      <c r="CZ3" s="546"/>
      <c r="DA3" s="543"/>
      <c r="DB3" s="546"/>
      <c r="DC3" s="543"/>
      <c r="DD3" s="546"/>
      <c r="DE3" s="543"/>
      <c r="DF3" s="546"/>
      <c r="DG3" s="535"/>
      <c r="DH3" s="505"/>
      <c r="DI3" s="506"/>
      <c r="DJ3" s="505"/>
      <c r="DK3" s="506"/>
      <c r="DL3" s="505"/>
      <c r="DM3" s="506"/>
      <c r="DN3" s="505"/>
      <c r="DO3" s="506"/>
      <c r="DP3" s="507"/>
      <c r="DQ3" s="502"/>
      <c r="DR3" s="508"/>
      <c r="DS3" s="504"/>
      <c r="DT3" s="505"/>
      <c r="DU3" s="506"/>
      <c r="DV3" s="505"/>
      <c r="DW3" s="506"/>
      <c r="DX3" s="505"/>
      <c r="DY3" s="506"/>
      <c r="DZ3" s="505"/>
      <c r="EA3" s="506"/>
      <c r="EB3" s="505"/>
      <c r="EC3" s="506"/>
      <c r="ED3" s="505"/>
      <c r="EE3" s="506"/>
      <c r="EF3" s="505"/>
      <c r="EG3" s="506"/>
      <c r="EH3" s="505"/>
      <c r="EI3" s="506"/>
      <c r="EJ3" s="505"/>
      <c r="EK3" s="506"/>
      <c r="EL3" s="505"/>
      <c r="EM3" s="506"/>
      <c r="EN3" s="505"/>
      <c r="EO3" s="506"/>
      <c r="EP3" s="505"/>
      <c r="EQ3" s="506"/>
      <c r="ER3" s="505"/>
      <c r="ES3" s="506"/>
      <c r="ET3" s="507"/>
      <c r="EU3" s="502"/>
      <c r="EV3" s="508"/>
      <c r="EW3" s="504"/>
      <c r="EX3" s="505"/>
      <c r="EY3" s="506"/>
      <c r="EZ3" s="505"/>
      <c r="FA3" s="506"/>
      <c r="FB3" s="505"/>
      <c r="FC3" s="506"/>
      <c r="FD3" s="505"/>
      <c r="FE3" s="506"/>
      <c r="FF3" s="505"/>
      <c r="FG3" s="506"/>
      <c r="FH3" s="505"/>
      <c r="FI3" s="506"/>
      <c r="FJ3" s="505"/>
      <c r="FK3" s="506"/>
      <c r="FL3" s="505"/>
      <c r="FM3" s="506"/>
      <c r="FN3" s="505"/>
      <c r="FO3" s="506"/>
      <c r="FP3" s="505"/>
      <c r="FQ3" s="506"/>
      <c r="FR3" s="505"/>
      <c r="FS3" s="506"/>
      <c r="FT3" s="505"/>
      <c r="FU3" s="506"/>
      <c r="FV3" s="505"/>
      <c r="FW3" s="506"/>
      <c r="FX3" s="507"/>
      <c r="FY3" s="502"/>
      <c r="FZ3" s="508"/>
      <c r="GA3" s="504"/>
      <c r="GB3" s="505"/>
      <c r="GC3" s="506"/>
      <c r="GD3" s="505"/>
      <c r="GE3" s="506"/>
      <c r="GF3" s="505"/>
      <c r="GG3" s="506"/>
      <c r="GH3" s="505"/>
      <c r="GI3" s="506"/>
      <c r="GJ3" s="505"/>
      <c r="GK3" s="506"/>
      <c r="GL3" s="505"/>
      <c r="GM3" s="506"/>
      <c r="GN3" s="505"/>
      <c r="GO3" s="506"/>
      <c r="GP3" s="505"/>
      <c r="GQ3" s="506"/>
      <c r="GR3" s="505"/>
      <c r="GS3" s="506"/>
      <c r="GT3" s="505"/>
      <c r="GU3" s="506"/>
      <c r="GV3" s="505"/>
      <c r="GW3" s="506"/>
      <c r="GX3" s="505"/>
      <c r="GY3" s="506"/>
      <c r="GZ3" s="505"/>
      <c r="HA3" s="506"/>
      <c r="HB3" s="507"/>
      <c r="HC3" s="502"/>
      <c r="HD3" s="508"/>
      <c r="HE3" s="504"/>
      <c r="HF3" s="505"/>
      <c r="HG3" s="506"/>
      <c r="HH3" s="505"/>
      <c r="HI3" s="506"/>
      <c r="HJ3" s="505"/>
      <c r="HK3" s="506"/>
      <c r="HL3" s="505"/>
      <c r="HM3" s="506"/>
      <c r="HN3" s="505"/>
      <c r="HO3" s="506"/>
      <c r="HP3" s="505"/>
      <c r="HQ3" s="506"/>
      <c r="HR3" s="505"/>
      <c r="HS3" s="506"/>
      <c r="HT3" s="505"/>
      <c r="HU3" s="506"/>
      <c r="HV3" s="505"/>
      <c r="HW3" s="506"/>
      <c r="HX3" s="505"/>
    </row>
    <row r="4" spans="1:232" ht="13.5" thickBot="1" x14ac:dyDescent="0.25">
      <c r="A4" s="502" t="s">
        <v>403</v>
      </c>
      <c r="B4" s="508"/>
      <c r="C4" s="504">
        <v>100</v>
      </c>
      <c r="D4" s="505">
        <v>0</v>
      </c>
      <c r="E4" s="506">
        <f t="shared" si="0"/>
        <v>0</v>
      </c>
      <c r="F4" s="505">
        <v>2.6</v>
      </c>
      <c r="G4" s="506">
        <f t="shared" si="1"/>
        <v>0</v>
      </c>
      <c r="H4" s="505">
        <v>1.92</v>
      </c>
      <c r="I4" s="506">
        <f t="shared" si="2"/>
        <v>0</v>
      </c>
      <c r="J4" s="505">
        <v>1.7</v>
      </c>
      <c r="K4" s="506">
        <f t="shared" si="3"/>
        <v>0</v>
      </c>
      <c r="L4" s="505">
        <v>110</v>
      </c>
      <c r="M4" s="506">
        <f t="shared" si="4"/>
        <v>0</v>
      </c>
      <c r="N4" s="505">
        <v>120</v>
      </c>
      <c r="O4" s="506">
        <f t="shared" si="5"/>
        <v>0</v>
      </c>
      <c r="P4" s="505">
        <v>110</v>
      </c>
      <c r="Q4" s="506">
        <f t="shared" si="6"/>
        <v>0</v>
      </c>
      <c r="R4" s="505">
        <v>0.23</v>
      </c>
      <c r="S4" s="506">
        <f t="shared" si="7"/>
        <v>0</v>
      </c>
      <c r="T4" s="505">
        <v>0.05</v>
      </c>
      <c r="U4" s="506">
        <f t="shared" si="8"/>
        <v>0</v>
      </c>
      <c r="V4" s="505">
        <v>1.7</v>
      </c>
      <c r="W4" s="506">
        <f t="shared" si="9"/>
        <v>0</v>
      </c>
      <c r="X4" s="505">
        <v>0.12</v>
      </c>
      <c r="Y4" s="506">
        <f t="shared" si="10"/>
        <v>0</v>
      </c>
      <c r="Z4" s="505">
        <v>0</v>
      </c>
      <c r="AA4" s="506">
        <f t="shared" si="11"/>
        <v>0</v>
      </c>
      <c r="AB4" s="505">
        <v>0</v>
      </c>
      <c r="AC4" s="506">
        <f t="shared" si="12"/>
        <v>0</v>
      </c>
      <c r="AD4" s="507" t="s">
        <v>401</v>
      </c>
      <c r="AE4" s="543"/>
      <c r="AF4" s="544"/>
      <c r="AG4" s="545"/>
      <c r="AH4" s="546"/>
      <c r="AI4" s="543"/>
      <c r="AJ4" s="546"/>
      <c r="AK4" s="543"/>
      <c r="AL4" s="546"/>
      <c r="AM4" s="543"/>
      <c r="AN4" s="546"/>
      <c r="AO4" s="543"/>
      <c r="AP4" s="546"/>
      <c r="AQ4" s="543"/>
      <c r="AR4" s="546"/>
      <c r="AS4" s="543"/>
      <c r="AT4" s="546"/>
      <c r="AU4" s="543"/>
      <c r="AV4" s="546"/>
      <c r="AW4" s="543"/>
      <c r="AX4" s="546"/>
      <c r="AY4" s="543"/>
      <c r="AZ4" s="546"/>
      <c r="BA4" s="543"/>
      <c r="BB4" s="546"/>
      <c r="BC4" s="543"/>
      <c r="BD4" s="546"/>
      <c r="BE4" s="543"/>
      <c r="BF4" s="546"/>
      <c r="BG4" s="543"/>
      <c r="BH4" s="547"/>
      <c r="BI4" s="543"/>
      <c r="BJ4" s="544"/>
      <c r="BK4" s="545"/>
      <c r="BL4" s="546"/>
      <c r="BM4" s="543"/>
      <c r="BN4" s="546"/>
      <c r="BO4" s="543"/>
      <c r="BP4" s="546"/>
      <c r="BQ4" s="543"/>
      <c r="BR4" s="546"/>
      <c r="BS4" s="543"/>
      <c r="BT4" s="546"/>
      <c r="BU4" s="543"/>
      <c r="BV4" s="546"/>
      <c r="BW4" s="543"/>
      <c r="BX4" s="546"/>
      <c r="BY4" s="543"/>
      <c r="BZ4" s="546"/>
      <c r="CA4" s="543"/>
      <c r="CB4" s="546"/>
      <c r="CC4" s="543"/>
      <c r="CD4" s="546"/>
      <c r="CE4" s="543"/>
      <c r="CF4" s="546"/>
      <c r="CG4" s="543"/>
      <c r="CH4" s="546"/>
      <c r="CI4" s="543"/>
      <c r="CJ4" s="546"/>
      <c r="CK4" s="543"/>
      <c r="CL4" s="547"/>
      <c r="CM4" s="543"/>
      <c r="CN4" s="544"/>
      <c r="CO4" s="545"/>
      <c r="CP4" s="546"/>
      <c r="CQ4" s="543"/>
      <c r="CR4" s="546"/>
      <c r="CS4" s="543"/>
      <c r="CT4" s="546"/>
      <c r="CU4" s="543"/>
      <c r="CV4" s="546"/>
      <c r="CW4" s="543"/>
      <c r="CX4" s="546"/>
      <c r="CY4" s="543"/>
      <c r="CZ4" s="546"/>
      <c r="DA4" s="543"/>
      <c r="DB4" s="546"/>
      <c r="DC4" s="543"/>
      <c r="DD4" s="546"/>
      <c r="DE4" s="543"/>
      <c r="DF4" s="546"/>
      <c r="DG4" s="535"/>
      <c r="DH4" s="505"/>
      <c r="DI4" s="506"/>
      <c r="DJ4" s="505"/>
      <c r="DK4" s="506"/>
      <c r="DL4" s="505"/>
      <c r="DM4" s="506"/>
      <c r="DN4" s="505"/>
      <c r="DO4" s="506"/>
      <c r="DP4" s="507"/>
      <c r="DQ4" s="502"/>
      <c r="DR4" s="508"/>
      <c r="DS4" s="504"/>
      <c r="DT4" s="505"/>
      <c r="DU4" s="506"/>
      <c r="DV4" s="505"/>
      <c r="DW4" s="506"/>
      <c r="DX4" s="505"/>
      <c r="DY4" s="506"/>
      <c r="DZ4" s="505"/>
      <c r="EA4" s="506"/>
      <c r="EB4" s="505"/>
      <c r="EC4" s="506"/>
      <c r="ED4" s="505"/>
      <c r="EE4" s="506"/>
      <c r="EF4" s="505"/>
      <c r="EG4" s="506"/>
      <c r="EH4" s="505"/>
      <c r="EI4" s="506"/>
      <c r="EJ4" s="505"/>
      <c r="EK4" s="506"/>
      <c r="EL4" s="505"/>
      <c r="EM4" s="506"/>
      <c r="EN4" s="505"/>
      <c r="EO4" s="506"/>
      <c r="EP4" s="505"/>
      <c r="EQ4" s="506"/>
      <c r="ER4" s="505"/>
      <c r="ES4" s="506"/>
      <c r="ET4" s="507"/>
      <c r="EU4" s="502"/>
      <c r="EV4" s="508"/>
      <c r="EW4" s="504"/>
      <c r="EX4" s="505"/>
      <c r="EY4" s="506"/>
      <c r="EZ4" s="505"/>
      <c r="FA4" s="506"/>
      <c r="FB4" s="505"/>
      <c r="FC4" s="506"/>
      <c r="FD4" s="505"/>
      <c r="FE4" s="506"/>
      <c r="FF4" s="505"/>
      <c r="FG4" s="506"/>
      <c r="FH4" s="505"/>
      <c r="FI4" s="506"/>
      <c r="FJ4" s="505"/>
      <c r="FK4" s="506"/>
      <c r="FL4" s="505"/>
      <c r="FM4" s="506"/>
      <c r="FN4" s="505"/>
      <c r="FO4" s="506"/>
      <c r="FP4" s="505"/>
      <c r="FQ4" s="506"/>
      <c r="FR4" s="505"/>
      <c r="FS4" s="506"/>
      <c r="FT4" s="505"/>
      <c r="FU4" s="506"/>
      <c r="FV4" s="505"/>
      <c r="FW4" s="506"/>
      <c r="FX4" s="507"/>
      <c r="FY4" s="502"/>
      <c r="FZ4" s="508"/>
      <c r="GA4" s="504"/>
      <c r="GB4" s="505"/>
      <c r="GC4" s="506"/>
      <c r="GD4" s="505"/>
      <c r="GE4" s="506"/>
      <c r="GF4" s="505"/>
      <c r="GG4" s="506"/>
      <c r="GH4" s="505"/>
      <c r="GI4" s="506"/>
      <c r="GJ4" s="505"/>
      <c r="GK4" s="506"/>
      <c r="GL4" s="505"/>
      <c r="GM4" s="506"/>
      <c r="GN4" s="505"/>
      <c r="GO4" s="506"/>
      <c r="GP4" s="505"/>
      <c r="GQ4" s="506"/>
      <c r="GR4" s="505"/>
      <c r="GS4" s="506"/>
      <c r="GT4" s="505"/>
      <c r="GU4" s="506"/>
      <c r="GV4" s="505"/>
      <c r="GW4" s="506"/>
      <c r="GX4" s="505"/>
      <c r="GY4" s="506"/>
      <c r="GZ4" s="505"/>
      <c r="HA4" s="506"/>
      <c r="HB4" s="507"/>
      <c r="HC4" s="502"/>
      <c r="HD4" s="508"/>
      <c r="HE4" s="504"/>
      <c r="HF4" s="505"/>
      <c r="HG4" s="506"/>
      <c r="HH4" s="505"/>
      <c r="HI4" s="506"/>
      <c r="HJ4" s="505"/>
      <c r="HK4" s="506"/>
      <c r="HL4" s="505"/>
      <c r="HM4" s="506"/>
      <c r="HN4" s="505"/>
      <c r="HO4" s="506"/>
      <c r="HP4" s="505"/>
      <c r="HQ4" s="506"/>
      <c r="HR4" s="505"/>
      <c r="HS4" s="506"/>
      <c r="HT4" s="505"/>
      <c r="HU4" s="506"/>
      <c r="HV4" s="505"/>
      <c r="HW4" s="506"/>
      <c r="HX4" s="505"/>
    </row>
    <row r="5" spans="1:232" ht="13.5" thickBot="1" x14ac:dyDescent="0.25">
      <c r="A5" s="502" t="s">
        <v>404</v>
      </c>
      <c r="B5" s="508"/>
      <c r="C5" s="504">
        <v>100</v>
      </c>
      <c r="D5" s="505">
        <v>0</v>
      </c>
      <c r="E5" s="506">
        <f t="shared" si="0"/>
        <v>0</v>
      </c>
      <c r="F5" s="505">
        <v>0</v>
      </c>
      <c r="G5" s="506">
        <f t="shared" si="1"/>
        <v>0</v>
      </c>
      <c r="H5" s="505">
        <v>1.24</v>
      </c>
      <c r="I5" s="506">
        <f t="shared" si="2"/>
        <v>0</v>
      </c>
      <c r="J5" s="505">
        <v>4.2</v>
      </c>
      <c r="K5" s="506">
        <f t="shared" si="3"/>
        <v>0</v>
      </c>
      <c r="L5" s="505">
        <v>80</v>
      </c>
      <c r="M5" s="506">
        <f t="shared" si="4"/>
        <v>0</v>
      </c>
      <c r="N5" s="505">
        <v>370</v>
      </c>
      <c r="O5" s="506">
        <f t="shared" si="5"/>
        <v>0</v>
      </c>
      <c r="P5" s="505">
        <v>342</v>
      </c>
      <c r="Q5" s="506">
        <f t="shared" si="6"/>
        <v>0</v>
      </c>
      <c r="R5" s="505">
        <v>0.52</v>
      </c>
      <c r="S5" s="506">
        <f t="shared" si="7"/>
        <v>0</v>
      </c>
      <c r="T5" s="505">
        <v>0.17</v>
      </c>
      <c r="U5" s="506">
        <f t="shared" si="8"/>
        <v>0</v>
      </c>
      <c r="V5" s="505">
        <v>2.4</v>
      </c>
      <c r="W5" s="506">
        <f t="shared" si="9"/>
        <v>0</v>
      </c>
      <c r="X5" s="505">
        <v>0.12</v>
      </c>
      <c r="Y5" s="506">
        <f t="shared" si="10"/>
        <v>0</v>
      </c>
      <c r="Z5" s="505">
        <v>0</v>
      </c>
      <c r="AA5" s="506">
        <f t="shared" si="11"/>
        <v>0</v>
      </c>
      <c r="AB5" s="505">
        <v>0</v>
      </c>
      <c r="AC5" s="506">
        <f t="shared" si="12"/>
        <v>0</v>
      </c>
      <c r="AD5" s="507" t="s">
        <v>401</v>
      </c>
      <c r="AE5" s="543"/>
      <c r="AF5" s="544"/>
      <c r="AG5" s="545"/>
      <c r="AH5" s="546"/>
      <c r="AI5" s="543"/>
      <c r="AJ5" s="546"/>
      <c r="AK5" s="543"/>
      <c r="AL5" s="546"/>
      <c r="AM5" s="543"/>
      <c r="AN5" s="546"/>
      <c r="AO5" s="543"/>
      <c r="AP5" s="546"/>
      <c r="AQ5" s="543"/>
      <c r="AR5" s="546"/>
      <c r="AS5" s="543"/>
      <c r="AT5" s="546"/>
      <c r="AU5" s="543"/>
      <c r="AV5" s="546"/>
      <c r="AW5" s="543"/>
      <c r="AX5" s="546"/>
      <c r="AY5" s="543"/>
      <c r="AZ5" s="546"/>
      <c r="BA5" s="543"/>
      <c r="BB5" s="546"/>
      <c r="BC5" s="543"/>
      <c r="BD5" s="546"/>
      <c r="BE5" s="543"/>
      <c r="BF5" s="546"/>
      <c r="BG5" s="543"/>
      <c r="BH5" s="547"/>
      <c r="BI5" s="543"/>
      <c r="BJ5" s="544"/>
      <c r="BK5" s="545"/>
      <c r="BL5" s="546"/>
      <c r="BM5" s="543"/>
      <c r="BN5" s="546"/>
      <c r="BO5" s="543"/>
      <c r="BP5" s="546"/>
      <c r="BQ5" s="543"/>
      <c r="BR5" s="546"/>
      <c r="BS5" s="543"/>
      <c r="BT5" s="546"/>
      <c r="BU5" s="543"/>
      <c r="BV5" s="546"/>
      <c r="BW5" s="543"/>
      <c r="BX5" s="546"/>
      <c r="BY5" s="543"/>
      <c r="BZ5" s="546"/>
      <c r="CA5" s="543"/>
      <c r="CB5" s="546"/>
      <c r="CC5" s="543"/>
      <c r="CD5" s="546"/>
      <c r="CE5" s="543"/>
      <c r="CF5" s="546"/>
      <c r="CG5" s="543"/>
      <c r="CH5" s="546"/>
      <c r="CI5" s="543"/>
      <c r="CJ5" s="546"/>
      <c r="CK5" s="543"/>
      <c r="CL5" s="547"/>
      <c r="CM5" s="543"/>
      <c r="CN5" s="544"/>
      <c r="CO5" s="545"/>
      <c r="CP5" s="546"/>
      <c r="CQ5" s="543"/>
      <c r="CR5" s="546"/>
      <c r="CS5" s="543"/>
      <c r="CT5" s="546"/>
      <c r="CU5" s="543"/>
      <c r="CV5" s="546"/>
      <c r="CW5" s="543"/>
      <c r="CX5" s="546"/>
      <c r="CY5" s="543"/>
      <c r="CZ5" s="546"/>
      <c r="DA5" s="543"/>
      <c r="DB5" s="546"/>
      <c r="DC5" s="543"/>
      <c r="DD5" s="546"/>
      <c r="DE5" s="543"/>
      <c r="DF5" s="546"/>
      <c r="DG5" s="535"/>
      <c r="DH5" s="505"/>
      <c r="DI5" s="506"/>
      <c r="DJ5" s="505"/>
      <c r="DK5" s="506"/>
      <c r="DL5" s="505"/>
      <c r="DM5" s="506"/>
      <c r="DN5" s="505"/>
      <c r="DO5" s="506"/>
      <c r="DP5" s="507"/>
      <c r="DQ5" s="502"/>
      <c r="DR5" s="508"/>
      <c r="DS5" s="504"/>
      <c r="DT5" s="505"/>
      <c r="DU5" s="506"/>
      <c r="DV5" s="505"/>
      <c r="DW5" s="506"/>
      <c r="DX5" s="505"/>
      <c r="DY5" s="506"/>
      <c r="DZ5" s="505"/>
      <c r="EA5" s="506"/>
      <c r="EB5" s="505"/>
      <c r="EC5" s="506"/>
      <c r="ED5" s="505"/>
      <c r="EE5" s="506"/>
      <c r="EF5" s="505"/>
      <c r="EG5" s="506"/>
      <c r="EH5" s="505"/>
      <c r="EI5" s="506"/>
      <c r="EJ5" s="505"/>
      <c r="EK5" s="506"/>
      <c r="EL5" s="505"/>
      <c r="EM5" s="506"/>
      <c r="EN5" s="505"/>
      <c r="EO5" s="506"/>
      <c r="EP5" s="505"/>
      <c r="EQ5" s="506"/>
      <c r="ER5" s="505"/>
      <c r="ES5" s="506"/>
      <c r="ET5" s="507"/>
      <c r="EU5" s="502"/>
      <c r="EV5" s="508"/>
      <c r="EW5" s="504"/>
      <c r="EX5" s="505"/>
      <c r="EY5" s="506"/>
      <c r="EZ5" s="505"/>
      <c r="FA5" s="506"/>
      <c r="FB5" s="505"/>
      <c r="FC5" s="506"/>
      <c r="FD5" s="505"/>
      <c r="FE5" s="506"/>
      <c r="FF5" s="505"/>
      <c r="FG5" s="506"/>
      <c r="FH5" s="505"/>
      <c r="FI5" s="506"/>
      <c r="FJ5" s="505"/>
      <c r="FK5" s="506"/>
      <c r="FL5" s="505"/>
      <c r="FM5" s="506"/>
      <c r="FN5" s="505"/>
      <c r="FO5" s="506"/>
      <c r="FP5" s="505"/>
      <c r="FQ5" s="506"/>
      <c r="FR5" s="505"/>
      <c r="FS5" s="506"/>
      <c r="FT5" s="505"/>
      <c r="FU5" s="506"/>
      <c r="FV5" s="505"/>
      <c r="FW5" s="506"/>
      <c r="FX5" s="507"/>
      <c r="FY5" s="502"/>
      <c r="FZ5" s="508"/>
      <c r="GA5" s="504"/>
      <c r="GB5" s="505"/>
      <c r="GC5" s="506"/>
      <c r="GD5" s="505"/>
      <c r="GE5" s="506"/>
      <c r="GF5" s="505"/>
      <c r="GG5" s="506"/>
      <c r="GH5" s="505"/>
      <c r="GI5" s="506"/>
      <c r="GJ5" s="505"/>
      <c r="GK5" s="506"/>
      <c r="GL5" s="505"/>
      <c r="GM5" s="506"/>
      <c r="GN5" s="505"/>
      <c r="GO5" s="506"/>
      <c r="GP5" s="505"/>
      <c r="GQ5" s="506"/>
      <c r="GR5" s="505"/>
      <c r="GS5" s="506"/>
      <c r="GT5" s="505"/>
      <c r="GU5" s="506"/>
      <c r="GV5" s="505"/>
      <c r="GW5" s="506"/>
      <c r="GX5" s="505"/>
      <c r="GY5" s="506"/>
      <c r="GZ5" s="505"/>
      <c r="HA5" s="506"/>
      <c r="HB5" s="507"/>
      <c r="HC5" s="502"/>
      <c r="HD5" s="508"/>
      <c r="HE5" s="504"/>
      <c r="HF5" s="505"/>
      <c r="HG5" s="506"/>
      <c r="HH5" s="505"/>
      <c r="HI5" s="506"/>
      <c r="HJ5" s="505"/>
      <c r="HK5" s="506"/>
      <c r="HL5" s="505"/>
      <c r="HM5" s="506"/>
      <c r="HN5" s="505"/>
      <c r="HO5" s="506"/>
      <c r="HP5" s="505"/>
      <c r="HQ5" s="506"/>
      <c r="HR5" s="505"/>
      <c r="HS5" s="506"/>
      <c r="HT5" s="505"/>
      <c r="HU5" s="506"/>
      <c r="HV5" s="505"/>
      <c r="HW5" s="506"/>
      <c r="HX5" s="505"/>
    </row>
    <row r="6" spans="1:232" ht="13.5" thickBot="1" x14ac:dyDescent="0.25">
      <c r="A6" s="502" t="s">
        <v>405</v>
      </c>
      <c r="B6" s="508"/>
      <c r="C6" s="504">
        <v>100</v>
      </c>
      <c r="D6" s="505">
        <v>0</v>
      </c>
      <c r="E6" s="506">
        <f t="shared" si="0"/>
        <v>0</v>
      </c>
      <c r="F6" s="505">
        <v>2.1</v>
      </c>
      <c r="G6" s="506">
        <f t="shared" si="1"/>
        <v>0</v>
      </c>
      <c r="H6" s="505">
        <v>0.43</v>
      </c>
      <c r="I6" s="506">
        <f t="shared" si="2"/>
        <v>0</v>
      </c>
      <c r="J6" s="505">
        <v>3</v>
      </c>
      <c r="K6" s="506">
        <f t="shared" si="3"/>
        <v>0</v>
      </c>
      <c r="L6" s="505">
        <v>28</v>
      </c>
      <c r="M6" s="506">
        <f t="shared" si="4"/>
        <v>0</v>
      </c>
      <c r="N6" s="505">
        <v>337</v>
      </c>
      <c r="O6" s="506">
        <f t="shared" si="5"/>
        <v>0</v>
      </c>
      <c r="P6" s="505">
        <v>300</v>
      </c>
      <c r="Q6" s="506">
        <f t="shared" si="6"/>
        <v>0</v>
      </c>
      <c r="R6" s="505">
        <v>0.4</v>
      </c>
      <c r="S6" s="506">
        <f t="shared" si="7"/>
        <v>0</v>
      </c>
      <c r="T6" s="505">
        <v>0.16</v>
      </c>
      <c r="U6" s="506">
        <f t="shared" si="8"/>
        <v>0</v>
      </c>
      <c r="V6" s="505">
        <v>5</v>
      </c>
      <c r="W6" s="506">
        <f t="shared" si="9"/>
        <v>0</v>
      </c>
      <c r="X6" s="505">
        <v>0.5</v>
      </c>
      <c r="Y6" s="506">
        <f t="shared" si="10"/>
        <v>0</v>
      </c>
      <c r="Z6" s="505">
        <v>0</v>
      </c>
      <c r="AA6" s="506">
        <f t="shared" si="11"/>
        <v>0</v>
      </c>
      <c r="AB6" s="505">
        <v>0</v>
      </c>
      <c r="AC6" s="506">
        <f t="shared" si="12"/>
        <v>0</v>
      </c>
      <c r="AD6" s="507" t="s">
        <v>401</v>
      </c>
      <c r="AE6" s="543"/>
      <c r="AF6" s="544"/>
      <c r="AG6" s="545"/>
      <c r="AH6" s="546"/>
      <c r="AI6" s="543"/>
      <c r="AJ6" s="546"/>
      <c r="AK6" s="543"/>
      <c r="AL6" s="546"/>
      <c r="AM6" s="543"/>
      <c r="AN6" s="546"/>
      <c r="AO6" s="543"/>
      <c r="AP6" s="546"/>
      <c r="AQ6" s="543"/>
      <c r="AR6" s="546"/>
      <c r="AS6" s="543"/>
      <c r="AT6" s="546"/>
      <c r="AU6" s="543"/>
      <c r="AV6" s="546"/>
      <c r="AW6" s="543"/>
      <c r="AX6" s="546"/>
      <c r="AY6" s="543"/>
      <c r="AZ6" s="546"/>
      <c r="BA6" s="543"/>
      <c r="BB6" s="546"/>
      <c r="BC6" s="543"/>
      <c r="BD6" s="546"/>
      <c r="BE6" s="543"/>
      <c r="BF6" s="546"/>
      <c r="BG6" s="543"/>
      <c r="BH6" s="547"/>
      <c r="BI6" s="543"/>
      <c r="BJ6" s="544"/>
      <c r="BK6" s="545"/>
      <c r="BL6" s="546"/>
      <c r="BM6" s="543"/>
      <c r="BN6" s="546"/>
      <c r="BO6" s="543"/>
      <c r="BP6" s="546"/>
      <c r="BQ6" s="543"/>
      <c r="BR6" s="546"/>
      <c r="BS6" s="543"/>
      <c r="BT6" s="546"/>
      <c r="BU6" s="543"/>
      <c r="BV6" s="546"/>
      <c r="BW6" s="543"/>
      <c r="BX6" s="546"/>
      <c r="BY6" s="543"/>
      <c r="BZ6" s="546"/>
      <c r="CA6" s="543"/>
      <c r="CB6" s="546"/>
      <c r="CC6" s="543"/>
      <c r="CD6" s="546"/>
      <c r="CE6" s="543"/>
      <c r="CF6" s="546"/>
      <c r="CG6" s="543"/>
      <c r="CH6" s="546"/>
      <c r="CI6" s="543"/>
      <c r="CJ6" s="546"/>
      <c r="CK6" s="543"/>
      <c r="CL6" s="547"/>
      <c r="CM6" s="543"/>
      <c r="CN6" s="544"/>
      <c r="CO6" s="545"/>
      <c r="CP6" s="546"/>
      <c r="CQ6" s="543"/>
      <c r="CR6" s="546"/>
      <c r="CS6" s="543"/>
      <c r="CT6" s="546"/>
      <c r="CU6" s="543"/>
      <c r="CV6" s="546"/>
      <c r="CW6" s="543"/>
      <c r="CX6" s="546"/>
      <c r="CY6" s="543"/>
      <c r="CZ6" s="546"/>
      <c r="DA6" s="543"/>
      <c r="DB6" s="546"/>
      <c r="DC6" s="543"/>
      <c r="DD6" s="546"/>
      <c r="DE6" s="543"/>
      <c r="DF6" s="546"/>
      <c r="DG6" s="535"/>
      <c r="DH6" s="505"/>
      <c r="DI6" s="506"/>
      <c r="DJ6" s="505"/>
      <c r="DK6" s="506"/>
      <c r="DL6" s="505"/>
      <c r="DM6" s="506"/>
      <c r="DN6" s="505"/>
      <c r="DO6" s="506"/>
      <c r="DP6" s="507"/>
      <c r="DQ6" s="502"/>
      <c r="DR6" s="508"/>
      <c r="DS6" s="504"/>
      <c r="DT6" s="505"/>
      <c r="DU6" s="506"/>
      <c r="DV6" s="505"/>
      <c r="DW6" s="506"/>
      <c r="DX6" s="505"/>
      <c r="DY6" s="506"/>
      <c r="DZ6" s="505"/>
      <c r="EA6" s="506"/>
      <c r="EB6" s="505"/>
      <c r="EC6" s="506"/>
      <c r="ED6" s="505"/>
      <c r="EE6" s="506"/>
      <c r="EF6" s="505"/>
      <c r="EG6" s="506"/>
      <c r="EH6" s="505"/>
      <c r="EI6" s="506"/>
      <c r="EJ6" s="505"/>
      <c r="EK6" s="506"/>
      <c r="EL6" s="505"/>
      <c r="EM6" s="506"/>
      <c r="EN6" s="505"/>
      <c r="EO6" s="506"/>
      <c r="EP6" s="505"/>
      <c r="EQ6" s="506"/>
      <c r="ER6" s="505"/>
      <c r="ES6" s="506"/>
      <c r="ET6" s="507"/>
      <c r="EU6" s="502"/>
      <c r="EV6" s="508"/>
      <c r="EW6" s="504"/>
      <c r="EX6" s="505"/>
      <c r="EY6" s="506"/>
      <c r="EZ6" s="505"/>
      <c r="FA6" s="506"/>
      <c r="FB6" s="505"/>
      <c r="FC6" s="506"/>
      <c r="FD6" s="505"/>
      <c r="FE6" s="506"/>
      <c r="FF6" s="505"/>
      <c r="FG6" s="506"/>
      <c r="FH6" s="505"/>
      <c r="FI6" s="506"/>
      <c r="FJ6" s="505"/>
      <c r="FK6" s="506"/>
      <c r="FL6" s="505"/>
      <c r="FM6" s="506"/>
      <c r="FN6" s="505"/>
      <c r="FO6" s="506"/>
      <c r="FP6" s="505"/>
      <c r="FQ6" s="506"/>
      <c r="FR6" s="505"/>
      <c r="FS6" s="506"/>
      <c r="FT6" s="505"/>
      <c r="FU6" s="506"/>
      <c r="FV6" s="505"/>
      <c r="FW6" s="506"/>
      <c r="FX6" s="507"/>
      <c r="FY6" s="502"/>
      <c r="FZ6" s="508"/>
      <c r="GA6" s="504"/>
      <c r="GB6" s="505"/>
      <c r="GC6" s="506"/>
      <c r="GD6" s="505"/>
      <c r="GE6" s="506"/>
      <c r="GF6" s="505"/>
      <c r="GG6" s="506"/>
      <c r="GH6" s="505"/>
      <c r="GI6" s="506"/>
      <c r="GJ6" s="505"/>
      <c r="GK6" s="506"/>
      <c r="GL6" s="505"/>
      <c r="GM6" s="506"/>
      <c r="GN6" s="505"/>
      <c r="GO6" s="506"/>
      <c r="GP6" s="505"/>
      <c r="GQ6" s="506"/>
      <c r="GR6" s="505"/>
      <c r="GS6" s="506"/>
      <c r="GT6" s="505"/>
      <c r="GU6" s="506"/>
      <c r="GV6" s="505"/>
      <c r="GW6" s="506"/>
      <c r="GX6" s="505"/>
      <c r="GY6" s="506"/>
      <c r="GZ6" s="505"/>
      <c r="HA6" s="506"/>
      <c r="HB6" s="507"/>
      <c r="HC6" s="502"/>
      <c r="HD6" s="508"/>
      <c r="HE6" s="504"/>
      <c r="HF6" s="505"/>
      <c r="HG6" s="506"/>
      <c r="HH6" s="505"/>
      <c r="HI6" s="506"/>
      <c r="HJ6" s="505"/>
      <c r="HK6" s="506"/>
      <c r="HL6" s="505"/>
      <c r="HM6" s="506"/>
      <c r="HN6" s="505"/>
      <c r="HO6" s="506"/>
      <c r="HP6" s="505"/>
      <c r="HQ6" s="506"/>
      <c r="HR6" s="505"/>
      <c r="HS6" s="506"/>
      <c r="HT6" s="505"/>
      <c r="HU6" s="506"/>
      <c r="HV6" s="505"/>
      <c r="HW6" s="506"/>
      <c r="HX6" s="505"/>
    </row>
    <row r="7" spans="1:232" ht="13.5" thickBot="1" x14ac:dyDescent="0.25">
      <c r="A7" s="502" t="s">
        <v>406</v>
      </c>
      <c r="B7" s="508"/>
      <c r="C7" s="504">
        <v>100</v>
      </c>
      <c r="D7" s="505">
        <v>0</v>
      </c>
      <c r="E7" s="506">
        <f t="shared" si="0"/>
        <v>0</v>
      </c>
      <c r="F7" s="505">
        <v>1.8</v>
      </c>
      <c r="G7" s="506">
        <f t="shared" si="1"/>
        <v>0</v>
      </c>
      <c r="H7" s="505">
        <v>0.23</v>
      </c>
      <c r="I7" s="506">
        <f t="shared" si="2"/>
        <v>0</v>
      </c>
      <c r="J7" s="505">
        <v>0.9</v>
      </c>
      <c r="K7" s="506">
        <f t="shared" si="3"/>
        <v>0</v>
      </c>
      <c r="L7" s="505">
        <v>18</v>
      </c>
      <c r="M7" s="506">
        <f t="shared" si="4"/>
        <v>0</v>
      </c>
      <c r="N7" s="505">
        <v>140</v>
      </c>
      <c r="O7" s="506">
        <f t="shared" si="5"/>
        <v>0</v>
      </c>
      <c r="P7" s="505">
        <v>160</v>
      </c>
      <c r="Q7" s="506">
        <f t="shared" si="6"/>
        <v>0</v>
      </c>
      <c r="R7" s="505">
        <v>0.25</v>
      </c>
      <c r="S7" s="506">
        <f t="shared" si="7"/>
        <v>0</v>
      </c>
      <c r="T7" s="505">
        <v>0.04</v>
      </c>
      <c r="U7" s="506">
        <f t="shared" si="8"/>
        <v>0</v>
      </c>
      <c r="V7" s="505">
        <v>1.2</v>
      </c>
      <c r="W7" s="506">
        <f t="shared" si="9"/>
        <v>0</v>
      </c>
      <c r="X7" s="505">
        <v>0.15</v>
      </c>
      <c r="Y7" s="506">
        <f t="shared" si="10"/>
        <v>0</v>
      </c>
      <c r="Z7" s="505">
        <v>0</v>
      </c>
      <c r="AA7" s="506">
        <f t="shared" si="11"/>
        <v>0</v>
      </c>
      <c r="AB7" s="505">
        <v>0</v>
      </c>
      <c r="AC7" s="506">
        <f t="shared" si="12"/>
        <v>0</v>
      </c>
      <c r="AD7" s="507" t="s">
        <v>401</v>
      </c>
      <c r="AE7" s="543"/>
      <c r="AF7" s="544"/>
      <c r="AG7" s="545"/>
      <c r="AH7" s="546"/>
      <c r="AI7" s="543"/>
      <c r="AJ7" s="546"/>
      <c r="AK7" s="543"/>
      <c r="AL7" s="546"/>
      <c r="AM7" s="543"/>
      <c r="AN7" s="546"/>
      <c r="AO7" s="543"/>
      <c r="AP7" s="546"/>
      <c r="AQ7" s="543"/>
      <c r="AR7" s="546"/>
      <c r="AS7" s="543"/>
      <c r="AT7" s="546"/>
      <c r="AU7" s="543"/>
      <c r="AV7" s="546"/>
      <c r="AW7" s="543"/>
      <c r="AX7" s="546"/>
      <c r="AY7" s="543"/>
      <c r="AZ7" s="546"/>
      <c r="BA7" s="543"/>
      <c r="BB7" s="546"/>
      <c r="BC7" s="543"/>
      <c r="BD7" s="546"/>
      <c r="BE7" s="543"/>
      <c r="BF7" s="546"/>
      <c r="BG7" s="543"/>
      <c r="BH7" s="547"/>
      <c r="BI7" s="543"/>
      <c r="BJ7" s="544"/>
      <c r="BK7" s="545"/>
      <c r="BL7" s="546"/>
      <c r="BM7" s="543"/>
      <c r="BN7" s="546"/>
      <c r="BO7" s="543"/>
      <c r="BP7" s="546"/>
      <c r="BQ7" s="543"/>
      <c r="BR7" s="546"/>
      <c r="BS7" s="543"/>
      <c r="BT7" s="546"/>
      <c r="BU7" s="543"/>
      <c r="BV7" s="546"/>
      <c r="BW7" s="543"/>
      <c r="BX7" s="546"/>
      <c r="BY7" s="543"/>
      <c r="BZ7" s="546"/>
      <c r="CA7" s="543"/>
      <c r="CB7" s="546"/>
      <c r="CC7" s="543"/>
      <c r="CD7" s="546"/>
      <c r="CE7" s="543"/>
      <c r="CF7" s="546"/>
      <c r="CG7" s="543"/>
      <c r="CH7" s="546"/>
      <c r="CI7" s="543"/>
      <c r="CJ7" s="546"/>
      <c r="CK7" s="543"/>
      <c r="CL7" s="547"/>
      <c r="CM7" s="543"/>
      <c r="CN7" s="544"/>
      <c r="CO7" s="545"/>
      <c r="CP7" s="546"/>
      <c r="CQ7" s="543"/>
      <c r="CR7" s="546"/>
      <c r="CS7" s="543"/>
      <c r="CT7" s="546"/>
      <c r="CU7" s="543"/>
      <c r="CV7" s="546"/>
      <c r="CW7" s="543"/>
      <c r="CX7" s="546"/>
      <c r="CY7" s="543"/>
      <c r="CZ7" s="546"/>
      <c r="DA7" s="543"/>
      <c r="DB7" s="546"/>
      <c r="DC7" s="543"/>
      <c r="DD7" s="546"/>
      <c r="DE7" s="543"/>
      <c r="DF7" s="546"/>
      <c r="DG7" s="535"/>
      <c r="DH7" s="505"/>
      <c r="DI7" s="506"/>
      <c r="DJ7" s="505"/>
      <c r="DK7" s="506"/>
      <c r="DL7" s="505"/>
      <c r="DM7" s="506"/>
      <c r="DN7" s="505"/>
      <c r="DO7" s="506"/>
      <c r="DP7" s="507"/>
      <c r="DQ7" s="502"/>
      <c r="DR7" s="508"/>
      <c r="DS7" s="504"/>
      <c r="DT7" s="505"/>
      <c r="DU7" s="506"/>
      <c r="DV7" s="505"/>
      <c r="DW7" s="506"/>
      <c r="DX7" s="505"/>
      <c r="DY7" s="506"/>
      <c r="DZ7" s="505"/>
      <c r="EA7" s="506"/>
      <c r="EB7" s="505"/>
      <c r="EC7" s="506"/>
      <c r="ED7" s="505"/>
      <c r="EE7" s="506"/>
      <c r="EF7" s="505"/>
      <c r="EG7" s="506"/>
      <c r="EH7" s="505"/>
      <c r="EI7" s="506"/>
      <c r="EJ7" s="505"/>
      <c r="EK7" s="506"/>
      <c r="EL7" s="505"/>
      <c r="EM7" s="506"/>
      <c r="EN7" s="505"/>
      <c r="EO7" s="506"/>
      <c r="EP7" s="505"/>
      <c r="EQ7" s="506"/>
      <c r="ER7" s="505"/>
      <c r="ES7" s="506"/>
      <c r="ET7" s="507"/>
      <c r="EU7" s="502"/>
      <c r="EV7" s="508"/>
      <c r="EW7" s="504"/>
      <c r="EX7" s="505"/>
      <c r="EY7" s="506"/>
      <c r="EZ7" s="505"/>
      <c r="FA7" s="506"/>
      <c r="FB7" s="505"/>
      <c r="FC7" s="506"/>
      <c r="FD7" s="505"/>
      <c r="FE7" s="506"/>
      <c r="FF7" s="505"/>
      <c r="FG7" s="506"/>
      <c r="FH7" s="505"/>
      <c r="FI7" s="506"/>
      <c r="FJ7" s="505"/>
      <c r="FK7" s="506"/>
      <c r="FL7" s="505"/>
      <c r="FM7" s="506"/>
      <c r="FN7" s="505"/>
      <c r="FO7" s="506"/>
      <c r="FP7" s="505"/>
      <c r="FQ7" s="506"/>
      <c r="FR7" s="505"/>
      <c r="FS7" s="506"/>
      <c r="FT7" s="505"/>
      <c r="FU7" s="506"/>
      <c r="FV7" s="505"/>
      <c r="FW7" s="506"/>
      <c r="FX7" s="507"/>
      <c r="FY7" s="502"/>
      <c r="FZ7" s="508"/>
      <c r="GA7" s="504"/>
      <c r="GB7" s="505"/>
      <c r="GC7" s="506"/>
      <c r="GD7" s="505"/>
      <c r="GE7" s="506"/>
      <c r="GF7" s="505"/>
      <c r="GG7" s="506"/>
      <c r="GH7" s="505"/>
      <c r="GI7" s="506"/>
      <c r="GJ7" s="505"/>
      <c r="GK7" s="506"/>
      <c r="GL7" s="505"/>
      <c r="GM7" s="506"/>
      <c r="GN7" s="505"/>
      <c r="GO7" s="506"/>
      <c r="GP7" s="505"/>
      <c r="GQ7" s="506"/>
      <c r="GR7" s="505"/>
      <c r="GS7" s="506"/>
      <c r="GT7" s="505"/>
      <c r="GU7" s="506"/>
      <c r="GV7" s="505"/>
      <c r="GW7" s="506"/>
      <c r="GX7" s="505"/>
      <c r="GY7" s="506"/>
      <c r="GZ7" s="505"/>
      <c r="HA7" s="506"/>
      <c r="HB7" s="507"/>
      <c r="HC7" s="502"/>
      <c r="HD7" s="508"/>
      <c r="HE7" s="504"/>
      <c r="HF7" s="505"/>
      <c r="HG7" s="506"/>
      <c r="HH7" s="505"/>
      <c r="HI7" s="506"/>
      <c r="HJ7" s="505"/>
      <c r="HK7" s="506"/>
      <c r="HL7" s="505"/>
      <c r="HM7" s="506"/>
      <c r="HN7" s="505"/>
      <c r="HO7" s="506"/>
      <c r="HP7" s="505"/>
      <c r="HQ7" s="506"/>
      <c r="HR7" s="505"/>
      <c r="HS7" s="506"/>
      <c r="HT7" s="505"/>
      <c r="HU7" s="506"/>
      <c r="HV7" s="505"/>
      <c r="HW7" s="506"/>
      <c r="HX7" s="505"/>
    </row>
    <row r="8" spans="1:232" ht="13.5" thickBot="1" x14ac:dyDescent="0.25">
      <c r="A8" s="502" t="s">
        <v>407</v>
      </c>
      <c r="B8" s="508"/>
      <c r="C8" s="504">
        <v>100</v>
      </c>
      <c r="D8" s="505">
        <v>0</v>
      </c>
      <c r="E8" s="506">
        <f t="shared" si="0"/>
        <v>0</v>
      </c>
      <c r="F8" s="505">
        <v>11.8</v>
      </c>
      <c r="G8" s="506">
        <f t="shared" si="1"/>
        <v>0</v>
      </c>
      <c r="H8" s="505">
        <v>0.88</v>
      </c>
      <c r="I8" s="506">
        <f t="shared" si="2"/>
        <v>0</v>
      </c>
      <c r="J8" s="505">
        <v>2.5</v>
      </c>
      <c r="K8" s="506">
        <f t="shared" si="3"/>
        <v>0</v>
      </c>
      <c r="L8" s="505">
        <v>30</v>
      </c>
      <c r="M8" s="506">
        <f t="shared" si="4"/>
        <v>0</v>
      </c>
      <c r="N8" s="505">
        <v>140</v>
      </c>
      <c r="O8" s="506">
        <f t="shared" si="5"/>
        <v>0</v>
      </c>
      <c r="P8" s="505">
        <v>109</v>
      </c>
      <c r="Q8" s="506">
        <f t="shared" si="6"/>
        <v>0</v>
      </c>
      <c r="R8" s="505">
        <v>0.5</v>
      </c>
      <c r="S8" s="506">
        <f t="shared" si="7"/>
        <v>0</v>
      </c>
      <c r="T8" s="505">
        <v>0.22</v>
      </c>
      <c r="U8" s="506">
        <f t="shared" si="8"/>
        <v>0</v>
      </c>
      <c r="V8" s="505">
        <v>4.0999999999999996</v>
      </c>
      <c r="W8" s="506">
        <f t="shared" si="9"/>
        <v>0</v>
      </c>
      <c r="X8" s="505">
        <v>0.1</v>
      </c>
      <c r="Y8" s="506">
        <f t="shared" si="10"/>
        <v>0</v>
      </c>
      <c r="Z8" s="505">
        <v>0</v>
      </c>
      <c r="AA8" s="506">
        <f t="shared" si="11"/>
        <v>0</v>
      </c>
      <c r="AB8" s="505">
        <v>0</v>
      </c>
      <c r="AC8" s="506">
        <f t="shared" si="12"/>
        <v>0</v>
      </c>
      <c r="AD8" s="507" t="s">
        <v>401</v>
      </c>
      <c r="AE8" s="543"/>
      <c r="AF8" s="544"/>
      <c r="AG8" s="545"/>
      <c r="AH8" s="546"/>
      <c r="AI8" s="543"/>
      <c r="AJ8" s="546"/>
      <c r="AK8" s="543"/>
      <c r="AL8" s="546"/>
      <c r="AM8" s="543"/>
      <c r="AN8" s="546"/>
      <c r="AO8" s="543"/>
      <c r="AP8" s="546"/>
      <c r="AQ8" s="543"/>
      <c r="AR8" s="546"/>
      <c r="AS8" s="543"/>
      <c r="AT8" s="546"/>
      <c r="AU8" s="543"/>
      <c r="AV8" s="546"/>
      <c r="AW8" s="543"/>
      <c r="AX8" s="546"/>
      <c r="AY8" s="543"/>
      <c r="AZ8" s="546"/>
      <c r="BA8" s="543"/>
      <c r="BB8" s="546"/>
      <c r="BC8" s="543"/>
      <c r="BD8" s="546"/>
      <c r="BE8" s="543"/>
      <c r="BF8" s="546"/>
      <c r="BG8" s="543"/>
      <c r="BH8" s="547"/>
      <c r="BI8" s="543"/>
      <c r="BJ8" s="544"/>
      <c r="BK8" s="545"/>
      <c r="BL8" s="546"/>
      <c r="BM8" s="543"/>
      <c r="BN8" s="546"/>
      <c r="BO8" s="543"/>
      <c r="BP8" s="546"/>
      <c r="BQ8" s="543"/>
      <c r="BR8" s="546"/>
      <c r="BS8" s="543"/>
      <c r="BT8" s="546"/>
      <c r="BU8" s="543"/>
      <c r="BV8" s="546"/>
      <c r="BW8" s="543"/>
      <c r="BX8" s="546"/>
      <c r="BY8" s="543"/>
      <c r="BZ8" s="546"/>
      <c r="CA8" s="543"/>
      <c r="CB8" s="546"/>
      <c r="CC8" s="543"/>
      <c r="CD8" s="546"/>
      <c r="CE8" s="543"/>
      <c r="CF8" s="546"/>
      <c r="CG8" s="543"/>
      <c r="CH8" s="546"/>
      <c r="CI8" s="543"/>
      <c r="CJ8" s="546"/>
      <c r="CK8" s="543"/>
      <c r="CL8" s="547"/>
      <c r="CM8" s="543"/>
      <c r="CN8" s="544"/>
      <c r="CO8" s="545"/>
      <c r="CP8" s="546"/>
      <c r="CQ8" s="543"/>
      <c r="CR8" s="546"/>
      <c r="CS8" s="543"/>
      <c r="CT8" s="546"/>
      <c r="CU8" s="543"/>
      <c r="CV8" s="546"/>
      <c r="CW8" s="543"/>
      <c r="CX8" s="546"/>
      <c r="CY8" s="543"/>
      <c r="CZ8" s="546"/>
      <c r="DA8" s="543"/>
      <c r="DB8" s="546"/>
      <c r="DC8" s="543"/>
      <c r="DD8" s="546"/>
      <c r="DE8" s="543"/>
      <c r="DF8" s="546"/>
      <c r="DG8" s="535"/>
      <c r="DH8" s="505"/>
      <c r="DI8" s="506"/>
      <c r="DJ8" s="505"/>
      <c r="DK8" s="506"/>
      <c r="DL8" s="505"/>
      <c r="DM8" s="506"/>
      <c r="DN8" s="505"/>
      <c r="DO8" s="506"/>
      <c r="DP8" s="507"/>
      <c r="DQ8" s="502"/>
      <c r="DR8" s="508"/>
      <c r="DS8" s="504"/>
      <c r="DT8" s="505"/>
      <c r="DU8" s="506"/>
      <c r="DV8" s="505"/>
      <c r="DW8" s="506"/>
      <c r="DX8" s="505"/>
      <c r="DY8" s="506"/>
      <c r="DZ8" s="505"/>
      <c r="EA8" s="506"/>
      <c r="EB8" s="505"/>
      <c r="EC8" s="506"/>
      <c r="ED8" s="505"/>
      <c r="EE8" s="506"/>
      <c r="EF8" s="505"/>
      <c r="EG8" s="506"/>
      <c r="EH8" s="505"/>
      <c r="EI8" s="506"/>
      <c r="EJ8" s="505"/>
      <c r="EK8" s="506"/>
      <c r="EL8" s="505"/>
      <c r="EM8" s="506"/>
      <c r="EN8" s="505"/>
      <c r="EO8" s="506"/>
      <c r="EP8" s="505"/>
      <c r="EQ8" s="506"/>
      <c r="ER8" s="505"/>
      <c r="ES8" s="506"/>
      <c r="ET8" s="507"/>
      <c r="EU8" s="502"/>
      <c r="EV8" s="508"/>
      <c r="EW8" s="504"/>
      <c r="EX8" s="505"/>
      <c r="EY8" s="506"/>
      <c r="EZ8" s="505"/>
      <c r="FA8" s="506"/>
      <c r="FB8" s="505"/>
      <c r="FC8" s="506"/>
      <c r="FD8" s="505"/>
      <c r="FE8" s="506"/>
      <c r="FF8" s="505"/>
      <c r="FG8" s="506"/>
      <c r="FH8" s="505"/>
      <c r="FI8" s="506"/>
      <c r="FJ8" s="505"/>
      <c r="FK8" s="506"/>
      <c r="FL8" s="505"/>
      <c r="FM8" s="506"/>
      <c r="FN8" s="505"/>
      <c r="FO8" s="506"/>
      <c r="FP8" s="505"/>
      <c r="FQ8" s="506"/>
      <c r="FR8" s="505"/>
      <c r="FS8" s="506"/>
      <c r="FT8" s="505"/>
      <c r="FU8" s="506"/>
      <c r="FV8" s="505"/>
      <c r="FW8" s="506"/>
      <c r="FX8" s="507"/>
      <c r="FY8" s="502"/>
      <c r="FZ8" s="508"/>
      <c r="GA8" s="504"/>
      <c r="GB8" s="505"/>
      <c r="GC8" s="506"/>
      <c r="GD8" s="505"/>
      <c r="GE8" s="506"/>
      <c r="GF8" s="505"/>
      <c r="GG8" s="506"/>
      <c r="GH8" s="505"/>
      <c r="GI8" s="506"/>
      <c r="GJ8" s="505"/>
      <c r="GK8" s="506"/>
      <c r="GL8" s="505"/>
      <c r="GM8" s="506"/>
      <c r="GN8" s="505"/>
      <c r="GO8" s="506"/>
      <c r="GP8" s="505"/>
      <c r="GQ8" s="506"/>
      <c r="GR8" s="505"/>
      <c r="GS8" s="506"/>
      <c r="GT8" s="505"/>
      <c r="GU8" s="506"/>
      <c r="GV8" s="505"/>
      <c r="GW8" s="506"/>
      <c r="GX8" s="505"/>
      <c r="GY8" s="506"/>
      <c r="GZ8" s="505"/>
      <c r="HA8" s="506"/>
      <c r="HB8" s="507"/>
      <c r="HC8" s="502"/>
      <c r="HD8" s="508"/>
      <c r="HE8" s="504"/>
      <c r="HF8" s="505"/>
      <c r="HG8" s="506"/>
      <c r="HH8" s="505"/>
      <c r="HI8" s="506"/>
      <c r="HJ8" s="505"/>
      <c r="HK8" s="506"/>
      <c r="HL8" s="505"/>
      <c r="HM8" s="506"/>
      <c r="HN8" s="505"/>
      <c r="HO8" s="506"/>
      <c r="HP8" s="505"/>
      <c r="HQ8" s="506"/>
      <c r="HR8" s="505"/>
      <c r="HS8" s="506"/>
      <c r="HT8" s="505"/>
      <c r="HU8" s="506"/>
      <c r="HV8" s="505"/>
      <c r="HW8" s="506"/>
      <c r="HX8" s="505"/>
    </row>
    <row r="9" spans="1:232" ht="13.5" thickBot="1" x14ac:dyDescent="0.25">
      <c r="A9" s="502" t="s">
        <v>408</v>
      </c>
      <c r="B9" s="508"/>
      <c r="C9" s="504">
        <v>100</v>
      </c>
      <c r="D9" s="505">
        <v>0</v>
      </c>
      <c r="E9" s="506">
        <f t="shared" si="0"/>
        <v>0</v>
      </c>
      <c r="F9" s="505">
        <v>10</v>
      </c>
      <c r="G9" s="506">
        <f t="shared" si="1"/>
        <v>0</v>
      </c>
      <c r="H9" s="505">
        <v>0.76</v>
      </c>
      <c r="I9" s="506">
        <f t="shared" si="2"/>
        <v>0</v>
      </c>
      <c r="J9" s="505">
        <v>4.5</v>
      </c>
      <c r="K9" s="506">
        <f t="shared" si="3"/>
        <v>0</v>
      </c>
      <c r="L9" s="505">
        <v>43</v>
      </c>
      <c r="M9" s="506">
        <f t="shared" si="4"/>
        <v>0</v>
      </c>
      <c r="N9" s="505">
        <v>148</v>
      </c>
      <c r="O9" s="506">
        <f t="shared" si="5"/>
        <v>0</v>
      </c>
      <c r="P9" s="505">
        <v>165</v>
      </c>
      <c r="Q9" s="506">
        <f t="shared" si="6"/>
        <v>0</v>
      </c>
      <c r="R9" s="505">
        <v>0.42</v>
      </c>
      <c r="S9" s="506">
        <f t="shared" si="7"/>
        <v>0</v>
      </c>
      <c r="T9" s="505">
        <v>0.3</v>
      </c>
      <c r="U9" s="506">
        <f t="shared" si="8"/>
        <v>0</v>
      </c>
      <c r="V9" s="505">
        <v>5.0999999999999996</v>
      </c>
      <c r="W9" s="506">
        <f t="shared" si="9"/>
        <v>0</v>
      </c>
      <c r="X9" s="505">
        <v>0.1</v>
      </c>
      <c r="Y9" s="506">
        <f t="shared" si="10"/>
        <v>0</v>
      </c>
      <c r="Z9" s="505">
        <v>0</v>
      </c>
      <c r="AA9" s="506">
        <f t="shared" si="11"/>
        <v>0</v>
      </c>
      <c r="AB9" s="505">
        <v>0</v>
      </c>
      <c r="AC9" s="506">
        <f t="shared" si="12"/>
        <v>0</v>
      </c>
      <c r="AD9" s="507" t="s">
        <v>401</v>
      </c>
      <c r="AE9" s="543"/>
      <c r="AF9" s="544"/>
      <c r="AG9" s="545"/>
      <c r="AH9" s="546"/>
      <c r="AI9" s="543"/>
      <c r="AJ9" s="546"/>
      <c r="AK9" s="543"/>
      <c r="AL9" s="546"/>
      <c r="AM9" s="543"/>
      <c r="AN9" s="546"/>
      <c r="AO9" s="543"/>
      <c r="AP9" s="546"/>
      <c r="AQ9" s="543"/>
      <c r="AR9" s="546"/>
      <c r="AS9" s="543"/>
      <c r="AT9" s="546"/>
      <c r="AU9" s="543"/>
      <c r="AV9" s="546"/>
      <c r="AW9" s="543"/>
      <c r="AX9" s="546"/>
      <c r="AY9" s="543"/>
      <c r="AZ9" s="546"/>
      <c r="BA9" s="543"/>
      <c r="BB9" s="546"/>
      <c r="BC9" s="543"/>
      <c r="BD9" s="546"/>
      <c r="BE9" s="543"/>
      <c r="BF9" s="546"/>
      <c r="BG9" s="543"/>
      <c r="BH9" s="547"/>
      <c r="BI9" s="543"/>
      <c r="BJ9" s="544"/>
      <c r="BK9" s="545"/>
      <c r="BL9" s="546"/>
      <c r="BM9" s="543"/>
      <c r="BN9" s="546"/>
      <c r="BO9" s="543"/>
      <c r="BP9" s="546"/>
      <c r="BQ9" s="543"/>
      <c r="BR9" s="546"/>
      <c r="BS9" s="543"/>
      <c r="BT9" s="546"/>
      <c r="BU9" s="543"/>
      <c r="BV9" s="546"/>
      <c r="BW9" s="543"/>
      <c r="BX9" s="546"/>
      <c r="BY9" s="543"/>
      <c r="BZ9" s="546"/>
      <c r="CA9" s="543"/>
      <c r="CB9" s="546"/>
      <c r="CC9" s="543"/>
      <c r="CD9" s="546"/>
      <c r="CE9" s="543"/>
      <c r="CF9" s="546"/>
      <c r="CG9" s="543"/>
      <c r="CH9" s="546"/>
      <c r="CI9" s="543"/>
      <c r="CJ9" s="546"/>
      <c r="CK9" s="543"/>
      <c r="CL9" s="547"/>
      <c r="CM9" s="543"/>
      <c r="CN9" s="544"/>
      <c r="CO9" s="545"/>
      <c r="CP9" s="546"/>
      <c r="CQ9" s="543"/>
      <c r="CR9" s="546"/>
      <c r="CS9" s="543"/>
      <c r="CT9" s="546"/>
      <c r="CU9" s="543"/>
      <c r="CV9" s="546"/>
      <c r="CW9" s="543"/>
      <c r="CX9" s="546"/>
      <c r="CY9" s="543"/>
      <c r="CZ9" s="546"/>
      <c r="DA9" s="543"/>
      <c r="DB9" s="546"/>
      <c r="DC9" s="543"/>
      <c r="DD9" s="546"/>
      <c r="DE9" s="543"/>
      <c r="DF9" s="546"/>
      <c r="DG9" s="535"/>
      <c r="DH9" s="505"/>
      <c r="DI9" s="506"/>
      <c r="DJ9" s="505"/>
      <c r="DK9" s="506"/>
      <c r="DL9" s="505"/>
      <c r="DM9" s="506"/>
      <c r="DN9" s="505"/>
      <c r="DO9" s="506"/>
      <c r="DP9" s="507"/>
      <c r="DQ9" s="502"/>
      <c r="DR9" s="508"/>
      <c r="DS9" s="504"/>
      <c r="DT9" s="505"/>
      <c r="DU9" s="506"/>
      <c r="DV9" s="505"/>
      <c r="DW9" s="506"/>
      <c r="DX9" s="505"/>
      <c r="DY9" s="506"/>
      <c r="DZ9" s="505"/>
      <c r="EA9" s="506"/>
      <c r="EB9" s="505"/>
      <c r="EC9" s="506"/>
      <c r="ED9" s="505"/>
      <c r="EE9" s="506"/>
      <c r="EF9" s="505"/>
      <c r="EG9" s="506"/>
      <c r="EH9" s="505"/>
      <c r="EI9" s="506"/>
      <c r="EJ9" s="505"/>
      <c r="EK9" s="506"/>
      <c r="EL9" s="505"/>
      <c r="EM9" s="506"/>
      <c r="EN9" s="505"/>
      <c r="EO9" s="506"/>
      <c r="EP9" s="505"/>
      <c r="EQ9" s="506"/>
      <c r="ER9" s="505"/>
      <c r="ES9" s="506"/>
      <c r="ET9" s="507"/>
      <c r="EU9" s="502"/>
      <c r="EV9" s="508"/>
      <c r="EW9" s="504"/>
      <c r="EX9" s="505"/>
      <c r="EY9" s="506"/>
      <c r="EZ9" s="505"/>
      <c r="FA9" s="506"/>
      <c r="FB9" s="505"/>
      <c r="FC9" s="506"/>
      <c r="FD9" s="505"/>
      <c r="FE9" s="506"/>
      <c r="FF9" s="505"/>
      <c r="FG9" s="506"/>
      <c r="FH9" s="505"/>
      <c r="FI9" s="506"/>
      <c r="FJ9" s="505"/>
      <c r="FK9" s="506"/>
      <c r="FL9" s="505"/>
      <c r="FM9" s="506"/>
      <c r="FN9" s="505"/>
      <c r="FO9" s="506"/>
      <c r="FP9" s="505"/>
      <c r="FQ9" s="506"/>
      <c r="FR9" s="505"/>
      <c r="FS9" s="506"/>
      <c r="FT9" s="505"/>
      <c r="FU9" s="506"/>
      <c r="FV9" s="505"/>
      <c r="FW9" s="506"/>
      <c r="FX9" s="507"/>
      <c r="FY9" s="502"/>
      <c r="FZ9" s="508"/>
      <c r="GA9" s="504"/>
      <c r="GB9" s="505"/>
      <c r="GC9" s="506"/>
      <c r="GD9" s="505"/>
      <c r="GE9" s="506"/>
      <c r="GF9" s="505"/>
      <c r="GG9" s="506"/>
      <c r="GH9" s="505"/>
      <c r="GI9" s="506"/>
      <c r="GJ9" s="505"/>
      <c r="GK9" s="506"/>
      <c r="GL9" s="505"/>
      <c r="GM9" s="506"/>
      <c r="GN9" s="505"/>
      <c r="GO9" s="506"/>
      <c r="GP9" s="505"/>
      <c r="GQ9" s="506"/>
      <c r="GR9" s="505"/>
      <c r="GS9" s="506"/>
      <c r="GT9" s="505"/>
      <c r="GU9" s="506"/>
      <c r="GV9" s="505"/>
      <c r="GW9" s="506"/>
      <c r="GX9" s="505"/>
      <c r="GY9" s="506"/>
      <c r="GZ9" s="505"/>
      <c r="HA9" s="506"/>
      <c r="HB9" s="507"/>
      <c r="HC9" s="502"/>
      <c r="HD9" s="508"/>
      <c r="HE9" s="504"/>
      <c r="HF9" s="505"/>
      <c r="HG9" s="506"/>
      <c r="HH9" s="505"/>
      <c r="HI9" s="506"/>
      <c r="HJ9" s="505"/>
      <c r="HK9" s="506"/>
      <c r="HL9" s="505"/>
      <c r="HM9" s="506"/>
      <c r="HN9" s="505"/>
      <c r="HO9" s="506"/>
      <c r="HP9" s="505"/>
      <c r="HQ9" s="506"/>
      <c r="HR9" s="505"/>
      <c r="HS9" s="506"/>
      <c r="HT9" s="505"/>
      <c r="HU9" s="506"/>
      <c r="HV9" s="505"/>
      <c r="HW9" s="506"/>
      <c r="HX9" s="505"/>
    </row>
    <row r="10" spans="1:232" ht="13.5" thickBot="1" x14ac:dyDescent="0.25">
      <c r="A10" s="502" t="s">
        <v>409</v>
      </c>
      <c r="B10" s="508"/>
      <c r="C10" s="504">
        <v>100</v>
      </c>
      <c r="D10" s="505">
        <v>0</v>
      </c>
      <c r="E10" s="506">
        <f t="shared" si="0"/>
        <v>0</v>
      </c>
      <c r="F10" s="505">
        <v>10.4</v>
      </c>
      <c r="G10" s="506">
        <f t="shared" si="1"/>
        <v>0</v>
      </c>
      <c r="H10" s="505">
        <v>0.13</v>
      </c>
      <c r="I10" s="506">
        <f t="shared" si="2"/>
        <v>0</v>
      </c>
      <c r="J10" s="505">
        <v>2.8</v>
      </c>
      <c r="K10" s="506">
        <f t="shared" si="3"/>
        <v>0</v>
      </c>
      <c r="L10" s="505">
        <v>74</v>
      </c>
      <c r="M10" s="506">
        <f t="shared" si="4"/>
        <v>0</v>
      </c>
      <c r="N10" s="505">
        <v>99</v>
      </c>
      <c r="O10" s="506">
        <f t="shared" si="5"/>
        <v>0</v>
      </c>
      <c r="P10" s="505">
        <v>58</v>
      </c>
      <c r="Q10" s="506">
        <f t="shared" si="6"/>
        <v>0</v>
      </c>
      <c r="R10" s="505">
        <v>1</v>
      </c>
      <c r="S10" s="506">
        <f t="shared" si="7"/>
        <v>0</v>
      </c>
      <c r="T10" s="505">
        <v>1.5</v>
      </c>
      <c r="U10" s="506">
        <f t="shared" si="8"/>
        <v>0</v>
      </c>
      <c r="V10" s="505">
        <v>16</v>
      </c>
      <c r="W10" s="506">
        <f t="shared" si="9"/>
        <v>0</v>
      </c>
      <c r="X10" s="505">
        <v>1.8</v>
      </c>
      <c r="Y10" s="506">
        <f t="shared" si="10"/>
        <v>0</v>
      </c>
      <c r="Z10" s="505">
        <v>0</v>
      </c>
      <c r="AA10" s="506">
        <f t="shared" si="11"/>
        <v>0</v>
      </c>
      <c r="AB10" s="505">
        <v>0</v>
      </c>
      <c r="AC10" s="506">
        <f t="shared" si="12"/>
        <v>0</v>
      </c>
      <c r="AD10" s="507" t="s">
        <v>401</v>
      </c>
      <c r="AE10" s="543"/>
      <c r="AF10" s="544"/>
      <c r="AG10" s="545"/>
      <c r="AH10" s="546"/>
      <c r="AI10" s="543"/>
      <c r="AJ10" s="546"/>
      <c r="AK10" s="543"/>
      <c r="AL10" s="546"/>
      <c r="AM10" s="543"/>
      <c r="AN10" s="546"/>
      <c r="AO10" s="543"/>
      <c r="AP10" s="546"/>
      <c r="AQ10" s="543"/>
      <c r="AR10" s="546"/>
      <c r="AS10" s="543"/>
      <c r="AT10" s="546"/>
      <c r="AU10" s="543"/>
      <c r="AV10" s="546"/>
      <c r="AW10" s="543"/>
      <c r="AX10" s="546"/>
      <c r="AY10" s="543"/>
      <c r="AZ10" s="546"/>
      <c r="BA10" s="543"/>
      <c r="BB10" s="546"/>
      <c r="BC10" s="543"/>
      <c r="BD10" s="546"/>
      <c r="BE10" s="543"/>
      <c r="BF10" s="546"/>
      <c r="BG10" s="543"/>
      <c r="BH10" s="547"/>
      <c r="BI10" s="543"/>
      <c r="BJ10" s="544"/>
      <c r="BK10" s="545"/>
      <c r="BL10" s="546"/>
      <c r="BM10" s="543"/>
      <c r="BN10" s="546"/>
      <c r="BO10" s="543"/>
      <c r="BP10" s="546"/>
      <c r="BQ10" s="543"/>
      <c r="BR10" s="546"/>
      <c r="BS10" s="543"/>
      <c r="BT10" s="546"/>
      <c r="BU10" s="543"/>
      <c r="BV10" s="546"/>
      <c r="BW10" s="543"/>
      <c r="BX10" s="546"/>
      <c r="BY10" s="543"/>
      <c r="BZ10" s="546"/>
      <c r="CA10" s="543"/>
      <c r="CB10" s="546"/>
      <c r="CC10" s="543"/>
      <c r="CD10" s="546"/>
      <c r="CE10" s="543"/>
      <c r="CF10" s="546"/>
      <c r="CG10" s="543"/>
      <c r="CH10" s="546"/>
      <c r="CI10" s="543"/>
      <c r="CJ10" s="546"/>
      <c r="CK10" s="543"/>
      <c r="CL10" s="547"/>
      <c r="CM10" s="543"/>
      <c r="CN10" s="544"/>
      <c r="CO10" s="545"/>
      <c r="CP10" s="546"/>
      <c r="CQ10" s="543"/>
      <c r="CR10" s="546"/>
      <c r="CS10" s="543"/>
      <c r="CT10" s="546"/>
      <c r="CU10" s="543"/>
      <c r="CV10" s="546"/>
      <c r="CW10" s="543"/>
      <c r="CX10" s="546"/>
      <c r="CY10" s="543"/>
      <c r="CZ10" s="546"/>
      <c r="DA10" s="543"/>
      <c r="DB10" s="546"/>
      <c r="DC10" s="543"/>
      <c r="DD10" s="546"/>
      <c r="DE10" s="543"/>
      <c r="DF10" s="546"/>
      <c r="DG10" s="535"/>
      <c r="DH10" s="505"/>
      <c r="DI10" s="506"/>
      <c r="DJ10" s="505"/>
      <c r="DK10" s="506"/>
      <c r="DL10" s="505"/>
      <c r="DM10" s="506"/>
      <c r="DN10" s="505"/>
      <c r="DO10" s="506"/>
      <c r="DP10" s="507"/>
      <c r="DQ10" s="502"/>
      <c r="DR10" s="508"/>
      <c r="DS10" s="504"/>
      <c r="DT10" s="505"/>
      <c r="DU10" s="506"/>
      <c r="DV10" s="505"/>
      <c r="DW10" s="506"/>
      <c r="DX10" s="505"/>
      <c r="DY10" s="506"/>
      <c r="DZ10" s="505"/>
      <c r="EA10" s="506"/>
      <c r="EB10" s="505"/>
      <c r="EC10" s="506"/>
      <c r="ED10" s="505"/>
      <c r="EE10" s="506"/>
      <c r="EF10" s="505"/>
      <c r="EG10" s="506"/>
      <c r="EH10" s="505"/>
      <c r="EI10" s="506"/>
      <c r="EJ10" s="505"/>
      <c r="EK10" s="506"/>
      <c r="EL10" s="505"/>
      <c r="EM10" s="506"/>
      <c r="EN10" s="505"/>
      <c r="EO10" s="506"/>
      <c r="EP10" s="505"/>
      <c r="EQ10" s="506"/>
      <c r="ER10" s="505"/>
      <c r="ES10" s="506"/>
      <c r="ET10" s="507"/>
      <c r="EU10" s="502"/>
      <c r="EV10" s="508"/>
      <c r="EW10" s="504"/>
      <c r="EX10" s="505"/>
      <c r="EY10" s="506"/>
      <c r="EZ10" s="505"/>
      <c r="FA10" s="506"/>
      <c r="FB10" s="505"/>
      <c r="FC10" s="506"/>
      <c r="FD10" s="505"/>
      <c r="FE10" s="506"/>
      <c r="FF10" s="505"/>
      <c r="FG10" s="506"/>
      <c r="FH10" s="505"/>
      <c r="FI10" s="506"/>
      <c r="FJ10" s="505"/>
      <c r="FK10" s="506"/>
      <c r="FL10" s="505"/>
      <c r="FM10" s="506"/>
      <c r="FN10" s="505"/>
      <c r="FO10" s="506"/>
      <c r="FP10" s="505"/>
      <c r="FQ10" s="506"/>
      <c r="FR10" s="505"/>
      <c r="FS10" s="506"/>
      <c r="FT10" s="505"/>
      <c r="FU10" s="506"/>
      <c r="FV10" s="505"/>
      <c r="FW10" s="506"/>
      <c r="FX10" s="507"/>
      <c r="FY10" s="502"/>
      <c r="FZ10" s="508"/>
      <c r="GA10" s="504"/>
      <c r="GB10" s="505"/>
      <c r="GC10" s="506"/>
      <c r="GD10" s="505"/>
      <c r="GE10" s="506"/>
      <c r="GF10" s="505"/>
      <c r="GG10" s="506"/>
      <c r="GH10" s="505"/>
      <c r="GI10" s="506"/>
      <c r="GJ10" s="505"/>
      <c r="GK10" s="506"/>
      <c r="GL10" s="505"/>
      <c r="GM10" s="506"/>
      <c r="GN10" s="505"/>
      <c r="GO10" s="506"/>
      <c r="GP10" s="505"/>
      <c r="GQ10" s="506"/>
      <c r="GR10" s="505"/>
      <c r="GS10" s="506"/>
      <c r="GT10" s="505"/>
      <c r="GU10" s="506"/>
      <c r="GV10" s="505"/>
      <c r="GW10" s="506"/>
      <c r="GX10" s="505"/>
      <c r="GY10" s="506"/>
      <c r="GZ10" s="505"/>
      <c r="HA10" s="506"/>
      <c r="HB10" s="507"/>
      <c r="HC10" s="502"/>
      <c r="HD10" s="508"/>
      <c r="HE10" s="504"/>
      <c r="HF10" s="505"/>
      <c r="HG10" s="506"/>
      <c r="HH10" s="505"/>
      <c r="HI10" s="506"/>
      <c r="HJ10" s="505"/>
      <c r="HK10" s="506"/>
      <c r="HL10" s="505"/>
      <c r="HM10" s="506"/>
      <c r="HN10" s="505"/>
      <c r="HO10" s="506"/>
      <c r="HP10" s="505"/>
      <c r="HQ10" s="506"/>
      <c r="HR10" s="505"/>
      <c r="HS10" s="506"/>
      <c r="HT10" s="505"/>
      <c r="HU10" s="506"/>
      <c r="HV10" s="505"/>
      <c r="HW10" s="506"/>
      <c r="HX10" s="505"/>
    </row>
    <row r="11" spans="1:232" ht="13.5" thickBot="1" x14ac:dyDescent="0.25">
      <c r="A11" s="502" t="s">
        <v>410</v>
      </c>
      <c r="B11" s="508">
        <v>600</v>
      </c>
      <c r="C11" s="504">
        <v>100</v>
      </c>
      <c r="D11" s="505">
        <v>0</v>
      </c>
      <c r="E11" s="506">
        <f t="shared" si="0"/>
        <v>0</v>
      </c>
      <c r="F11" s="505">
        <v>9.9</v>
      </c>
      <c r="G11" s="506">
        <f t="shared" si="1"/>
        <v>59.4</v>
      </c>
      <c r="H11" s="505">
        <v>2</v>
      </c>
      <c r="I11" s="506">
        <f t="shared" si="2"/>
        <v>12</v>
      </c>
      <c r="J11" s="505">
        <v>2</v>
      </c>
      <c r="K11" s="506">
        <f t="shared" si="3"/>
        <v>12</v>
      </c>
      <c r="L11" s="505">
        <v>9</v>
      </c>
      <c r="M11" s="506">
        <f t="shared" si="4"/>
        <v>54</v>
      </c>
      <c r="N11" s="505">
        <v>128</v>
      </c>
      <c r="O11" s="506">
        <f t="shared" si="5"/>
        <v>768</v>
      </c>
      <c r="P11" s="505">
        <v>39</v>
      </c>
      <c r="Q11" s="506">
        <f t="shared" si="6"/>
        <v>234</v>
      </c>
      <c r="R11" s="505">
        <v>0.21</v>
      </c>
      <c r="S11" s="506">
        <f t="shared" si="7"/>
        <v>1.26</v>
      </c>
      <c r="T11" s="505">
        <v>0.08</v>
      </c>
      <c r="U11" s="506">
        <f t="shared" si="8"/>
        <v>0.48</v>
      </c>
      <c r="V11" s="505">
        <v>1.3</v>
      </c>
      <c r="W11" s="506">
        <f t="shared" si="9"/>
        <v>7.8</v>
      </c>
      <c r="X11" s="505">
        <v>0.13</v>
      </c>
      <c r="Y11" s="506">
        <f t="shared" si="10"/>
        <v>0.78</v>
      </c>
      <c r="Z11" s="505">
        <v>1</v>
      </c>
      <c r="AA11" s="506">
        <f t="shared" si="11"/>
        <v>6</v>
      </c>
      <c r="AB11" s="505">
        <v>0</v>
      </c>
      <c r="AC11" s="506">
        <f t="shared" si="12"/>
        <v>0</v>
      </c>
      <c r="AD11" s="507" t="s">
        <v>401</v>
      </c>
      <c r="AE11" s="543"/>
      <c r="AF11" s="544"/>
      <c r="AG11" s="545"/>
      <c r="AH11" s="546"/>
      <c r="AI11" s="543"/>
      <c r="AJ11" s="546"/>
      <c r="AK11" s="543"/>
      <c r="AL11" s="546"/>
      <c r="AM11" s="543"/>
      <c r="AN11" s="546"/>
      <c r="AO11" s="543"/>
      <c r="AP11" s="546"/>
      <c r="AQ11" s="543"/>
      <c r="AR11" s="546"/>
      <c r="AS11" s="543"/>
      <c r="AT11" s="546"/>
      <c r="AU11" s="543"/>
      <c r="AV11" s="546"/>
      <c r="AW11" s="543"/>
      <c r="AX11" s="546"/>
      <c r="AY11" s="543"/>
      <c r="AZ11" s="546"/>
      <c r="BA11" s="543"/>
      <c r="BB11" s="546"/>
      <c r="BC11" s="543"/>
      <c r="BD11" s="546"/>
      <c r="BE11" s="543"/>
      <c r="BF11" s="546"/>
      <c r="BG11" s="543"/>
      <c r="BH11" s="547"/>
      <c r="BI11" s="543"/>
      <c r="BJ11" s="544"/>
      <c r="BK11" s="545"/>
      <c r="BL11" s="546"/>
      <c r="BM11" s="543"/>
      <c r="BN11" s="546"/>
      <c r="BO11" s="543"/>
      <c r="BP11" s="546"/>
      <c r="BQ11" s="543"/>
      <c r="BR11" s="546"/>
      <c r="BS11" s="543"/>
      <c r="BT11" s="546"/>
      <c r="BU11" s="543"/>
      <c r="BV11" s="546"/>
      <c r="BW11" s="543"/>
      <c r="BX11" s="546"/>
      <c r="BY11" s="543"/>
      <c r="BZ11" s="546"/>
      <c r="CA11" s="543"/>
      <c r="CB11" s="546"/>
      <c r="CC11" s="543"/>
      <c r="CD11" s="546"/>
      <c r="CE11" s="543"/>
      <c r="CF11" s="546"/>
      <c r="CG11" s="543"/>
      <c r="CH11" s="546"/>
      <c r="CI11" s="543"/>
      <c r="CJ11" s="546"/>
      <c r="CK11" s="543"/>
      <c r="CL11" s="547"/>
      <c r="CM11" s="543"/>
      <c r="CN11" s="544"/>
      <c r="CO11" s="545"/>
      <c r="CP11" s="546"/>
      <c r="CQ11" s="543"/>
      <c r="CR11" s="546"/>
      <c r="CS11" s="543"/>
      <c r="CT11" s="546"/>
      <c r="CU11" s="543"/>
      <c r="CV11" s="546"/>
      <c r="CW11" s="543"/>
      <c r="CX11" s="546"/>
      <c r="CY11" s="543"/>
      <c r="CZ11" s="546"/>
      <c r="DA11" s="543"/>
      <c r="DB11" s="546"/>
      <c r="DC11" s="543"/>
      <c r="DD11" s="546"/>
      <c r="DE11" s="543"/>
      <c r="DF11" s="546"/>
      <c r="DG11" s="535"/>
      <c r="DH11" s="505"/>
      <c r="DI11" s="506"/>
      <c r="DJ11" s="505"/>
      <c r="DK11" s="506"/>
      <c r="DL11" s="505"/>
      <c r="DM11" s="506"/>
      <c r="DN11" s="505"/>
      <c r="DO11" s="506"/>
      <c r="DP11" s="507"/>
      <c r="DQ11" s="502"/>
      <c r="DR11" s="508"/>
      <c r="DS11" s="504"/>
      <c r="DT11" s="505"/>
      <c r="DU11" s="506"/>
      <c r="DV11" s="505"/>
      <c r="DW11" s="506"/>
      <c r="DX11" s="505"/>
      <c r="DY11" s="506"/>
      <c r="DZ11" s="505"/>
      <c r="EA11" s="506"/>
      <c r="EB11" s="505"/>
      <c r="EC11" s="506"/>
      <c r="ED11" s="505"/>
      <c r="EE11" s="506"/>
      <c r="EF11" s="505"/>
      <c r="EG11" s="506"/>
      <c r="EH11" s="505"/>
      <c r="EI11" s="506"/>
      <c r="EJ11" s="505"/>
      <c r="EK11" s="506"/>
      <c r="EL11" s="505"/>
      <c r="EM11" s="506"/>
      <c r="EN11" s="505"/>
      <c r="EO11" s="506"/>
      <c r="EP11" s="505"/>
      <c r="EQ11" s="506"/>
      <c r="ER11" s="505"/>
      <c r="ES11" s="506"/>
      <c r="ET11" s="507"/>
      <c r="EU11" s="502"/>
      <c r="EV11" s="508"/>
      <c r="EW11" s="504"/>
      <c r="EX11" s="505"/>
      <c r="EY11" s="506"/>
      <c r="EZ11" s="505"/>
      <c r="FA11" s="506"/>
      <c r="FB11" s="505"/>
      <c r="FC11" s="506"/>
      <c r="FD11" s="505"/>
      <c r="FE11" s="506"/>
      <c r="FF11" s="505"/>
      <c r="FG11" s="506"/>
      <c r="FH11" s="505"/>
      <c r="FI11" s="506"/>
      <c r="FJ11" s="505"/>
      <c r="FK11" s="506"/>
      <c r="FL11" s="505"/>
      <c r="FM11" s="506"/>
      <c r="FN11" s="505"/>
      <c r="FO11" s="506"/>
      <c r="FP11" s="505"/>
      <c r="FQ11" s="506"/>
      <c r="FR11" s="505"/>
      <c r="FS11" s="506"/>
      <c r="FT11" s="505"/>
      <c r="FU11" s="506"/>
      <c r="FV11" s="505"/>
      <c r="FW11" s="506"/>
      <c r="FX11" s="507"/>
      <c r="FY11" s="502"/>
      <c r="FZ11" s="508"/>
      <c r="GA11" s="504"/>
      <c r="GB11" s="505"/>
      <c r="GC11" s="506"/>
      <c r="GD11" s="505"/>
      <c r="GE11" s="506"/>
      <c r="GF11" s="505"/>
      <c r="GG11" s="506"/>
      <c r="GH11" s="505"/>
      <c r="GI11" s="506"/>
      <c r="GJ11" s="505"/>
      <c r="GK11" s="506"/>
      <c r="GL11" s="505"/>
      <c r="GM11" s="506"/>
      <c r="GN11" s="505"/>
      <c r="GO11" s="506"/>
      <c r="GP11" s="505"/>
      <c r="GQ11" s="506"/>
      <c r="GR11" s="505"/>
      <c r="GS11" s="506"/>
      <c r="GT11" s="505"/>
      <c r="GU11" s="506"/>
      <c r="GV11" s="505"/>
      <c r="GW11" s="506"/>
      <c r="GX11" s="505"/>
      <c r="GY11" s="506"/>
      <c r="GZ11" s="505"/>
      <c r="HA11" s="506"/>
      <c r="HB11" s="507"/>
      <c r="HC11" s="502"/>
      <c r="HD11" s="508"/>
      <c r="HE11" s="504"/>
      <c r="HF11" s="505"/>
      <c r="HG11" s="506"/>
      <c r="HH11" s="505"/>
      <c r="HI11" s="506"/>
      <c r="HJ11" s="505"/>
      <c r="HK11" s="506"/>
      <c r="HL11" s="505"/>
      <c r="HM11" s="506"/>
      <c r="HN11" s="505"/>
      <c r="HO11" s="506"/>
      <c r="HP11" s="505"/>
      <c r="HQ11" s="506"/>
      <c r="HR11" s="505"/>
      <c r="HS11" s="506"/>
      <c r="HT11" s="505"/>
      <c r="HU11" s="506"/>
      <c r="HV11" s="505"/>
      <c r="HW11" s="506"/>
      <c r="HX11" s="505"/>
    </row>
    <row r="12" spans="1:232" ht="13.5" thickBot="1" x14ac:dyDescent="0.25">
      <c r="A12" s="502" t="s">
        <v>411</v>
      </c>
      <c r="B12" s="508"/>
      <c r="C12" s="504">
        <v>100</v>
      </c>
      <c r="D12" s="505">
        <v>0</v>
      </c>
      <c r="E12" s="506">
        <f t="shared" si="0"/>
        <v>0</v>
      </c>
      <c r="F12" s="505">
        <v>2.2000000000000002</v>
      </c>
      <c r="G12" s="506">
        <f t="shared" si="1"/>
        <v>0</v>
      </c>
      <c r="H12" s="505">
        <v>4.04</v>
      </c>
      <c r="I12" s="506">
        <f t="shared" si="2"/>
        <v>0</v>
      </c>
      <c r="J12" s="505">
        <v>2.2999999999999998</v>
      </c>
      <c r="K12" s="506">
        <f t="shared" si="3"/>
        <v>0</v>
      </c>
      <c r="L12" s="505">
        <v>13</v>
      </c>
      <c r="M12" s="506">
        <f t="shared" si="4"/>
        <v>0</v>
      </c>
      <c r="N12" s="505">
        <v>120</v>
      </c>
      <c r="O12" s="506">
        <f t="shared" si="5"/>
        <v>0</v>
      </c>
      <c r="P12" s="505">
        <v>162</v>
      </c>
      <c r="Q12" s="506">
        <f t="shared" si="6"/>
        <v>0</v>
      </c>
      <c r="R12" s="505">
        <v>0.12</v>
      </c>
      <c r="S12" s="506">
        <f t="shared" si="7"/>
        <v>0</v>
      </c>
      <c r="T12" s="505">
        <v>0.08</v>
      </c>
      <c r="U12" s="506">
        <f t="shared" si="8"/>
        <v>0</v>
      </c>
      <c r="V12" s="505">
        <v>0.9</v>
      </c>
      <c r="W12" s="506">
        <f t="shared" si="9"/>
        <v>0</v>
      </c>
      <c r="X12" s="505">
        <v>0.12</v>
      </c>
      <c r="Y12" s="506">
        <f t="shared" si="10"/>
        <v>0</v>
      </c>
      <c r="Z12" s="505">
        <v>0</v>
      </c>
      <c r="AA12" s="506">
        <f t="shared" si="11"/>
        <v>0</v>
      </c>
      <c r="AB12" s="505">
        <v>0</v>
      </c>
      <c r="AC12" s="506">
        <f t="shared" si="12"/>
        <v>0</v>
      </c>
      <c r="AD12" s="507" t="s">
        <v>401</v>
      </c>
      <c r="AE12" s="543"/>
      <c r="AF12" s="544"/>
      <c r="AG12" s="545"/>
      <c r="AH12" s="546"/>
      <c r="AI12" s="543"/>
      <c r="AJ12" s="546"/>
      <c r="AK12" s="543"/>
      <c r="AL12" s="546"/>
      <c r="AM12" s="543"/>
      <c r="AN12" s="546"/>
      <c r="AO12" s="543"/>
      <c r="AP12" s="546"/>
      <c r="AQ12" s="543"/>
      <c r="AR12" s="546"/>
      <c r="AS12" s="543"/>
      <c r="AT12" s="546"/>
      <c r="AU12" s="543"/>
      <c r="AV12" s="546"/>
      <c r="AW12" s="543"/>
      <c r="AX12" s="546"/>
      <c r="AY12" s="543"/>
      <c r="AZ12" s="546"/>
      <c r="BA12" s="543"/>
      <c r="BB12" s="546"/>
      <c r="BC12" s="543"/>
      <c r="BD12" s="546"/>
      <c r="BE12" s="543"/>
      <c r="BF12" s="546"/>
      <c r="BG12" s="543"/>
      <c r="BH12" s="547"/>
      <c r="BI12" s="543"/>
      <c r="BJ12" s="544"/>
      <c r="BK12" s="545"/>
      <c r="BL12" s="546"/>
      <c r="BM12" s="543"/>
      <c r="BN12" s="546"/>
      <c r="BO12" s="543"/>
      <c r="BP12" s="546"/>
      <c r="BQ12" s="543"/>
      <c r="BR12" s="546"/>
      <c r="BS12" s="543"/>
      <c r="BT12" s="546"/>
      <c r="BU12" s="543"/>
      <c r="BV12" s="546"/>
      <c r="BW12" s="543"/>
      <c r="BX12" s="546"/>
      <c r="BY12" s="543"/>
      <c r="BZ12" s="546"/>
      <c r="CA12" s="543"/>
      <c r="CB12" s="546"/>
      <c r="CC12" s="543"/>
      <c r="CD12" s="546"/>
      <c r="CE12" s="543"/>
      <c r="CF12" s="546"/>
      <c r="CG12" s="543"/>
      <c r="CH12" s="546"/>
      <c r="CI12" s="543"/>
      <c r="CJ12" s="546"/>
      <c r="CK12" s="543"/>
      <c r="CL12" s="547"/>
      <c r="CM12" s="543"/>
      <c r="CN12" s="544"/>
      <c r="CO12" s="545"/>
      <c r="CP12" s="546"/>
      <c r="CQ12" s="543"/>
      <c r="CR12" s="546"/>
      <c r="CS12" s="543"/>
      <c r="CT12" s="546"/>
      <c r="CU12" s="543"/>
      <c r="CV12" s="546"/>
      <c r="CW12" s="543"/>
      <c r="CX12" s="546"/>
      <c r="CY12" s="543"/>
      <c r="CZ12" s="546"/>
      <c r="DA12" s="543"/>
      <c r="DB12" s="546"/>
      <c r="DC12" s="543"/>
      <c r="DD12" s="546"/>
      <c r="DE12" s="543"/>
      <c r="DF12" s="546"/>
      <c r="DG12" s="535"/>
      <c r="DH12" s="505"/>
      <c r="DI12" s="506"/>
      <c r="DJ12" s="505"/>
      <c r="DK12" s="506"/>
      <c r="DL12" s="505"/>
      <c r="DM12" s="506"/>
      <c r="DN12" s="505"/>
      <c r="DO12" s="506"/>
      <c r="DP12" s="507"/>
      <c r="DQ12" s="502"/>
      <c r="DR12" s="508"/>
      <c r="DS12" s="504"/>
      <c r="DT12" s="505"/>
      <c r="DU12" s="506"/>
      <c r="DV12" s="505"/>
      <c r="DW12" s="506"/>
      <c r="DX12" s="505"/>
      <c r="DY12" s="506"/>
      <c r="DZ12" s="505"/>
      <c r="EA12" s="506"/>
      <c r="EB12" s="505"/>
      <c r="EC12" s="506"/>
      <c r="ED12" s="505"/>
      <c r="EE12" s="506"/>
      <c r="EF12" s="505"/>
      <c r="EG12" s="506"/>
      <c r="EH12" s="505"/>
      <c r="EI12" s="506"/>
      <c r="EJ12" s="505"/>
      <c r="EK12" s="506"/>
      <c r="EL12" s="505"/>
      <c r="EM12" s="506"/>
      <c r="EN12" s="505"/>
      <c r="EO12" s="506"/>
      <c r="EP12" s="505"/>
      <c r="EQ12" s="506"/>
      <c r="ER12" s="505"/>
      <c r="ES12" s="506"/>
      <c r="ET12" s="507"/>
      <c r="EU12" s="502"/>
      <c r="EV12" s="508"/>
      <c r="EW12" s="504"/>
      <c r="EX12" s="505"/>
      <c r="EY12" s="506"/>
      <c r="EZ12" s="505"/>
      <c r="FA12" s="506"/>
      <c r="FB12" s="505"/>
      <c r="FC12" s="506"/>
      <c r="FD12" s="505"/>
      <c r="FE12" s="506"/>
      <c r="FF12" s="505"/>
      <c r="FG12" s="506"/>
      <c r="FH12" s="505"/>
      <c r="FI12" s="506"/>
      <c r="FJ12" s="505"/>
      <c r="FK12" s="506"/>
      <c r="FL12" s="505"/>
      <c r="FM12" s="506"/>
      <c r="FN12" s="505"/>
      <c r="FO12" s="506"/>
      <c r="FP12" s="505"/>
      <c r="FQ12" s="506"/>
      <c r="FR12" s="505"/>
      <c r="FS12" s="506"/>
      <c r="FT12" s="505"/>
      <c r="FU12" s="506"/>
      <c r="FV12" s="505"/>
      <c r="FW12" s="506"/>
      <c r="FX12" s="507"/>
      <c r="FY12" s="502"/>
      <c r="FZ12" s="508"/>
      <c r="GA12" s="504"/>
      <c r="GB12" s="505"/>
      <c r="GC12" s="506"/>
      <c r="GD12" s="505"/>
      <c r="GE12" s="506"/>
      <c r="GF12" s="505"/>
      <c r="GG12" s="506"/>
      <c r="GH12" s="505"/>
      <c r="GI12" s="506"/>
      <c r="GJ12" s="505"/>
      <c r="GK12" s="506"/>
      <c r="GL12" s="505"/>
      <c r="GM12" s="506"/>
      <c r="GN12" s="505"/>
      <c r="GO12" s="506"/>
      <c r="GP12" s="505"/>
      <c r="GQ12" s="506"/>
      <c r="GR12" s="505"/>
      <c r="GS12" s="506"/>
      <c r="GT12" s="505"/>
      <c r="GU12" s="506"/>
      <c r="GV12" s="505"/>
      <c r="GW12" s="506"/>
      <c r="GX12" s="505"/>
      <c r="GY12" s="506"/>
      <c r="GZ12" s="505"/>
      <c r="HA12" s="506"/>
      <c r="HB12" s="507"/>
      <c r="HC12" s="502"/>
      <c r="HD12" s="508"/>
      <c r="HE12" s="504"/>
      <c r="HF12" s="505"/>
      <c r="HG12" s="506"/>
      <c r="HH12" s="505"/>
      <c r="HI12" s="506"/>
      <c r="HJ12" s="505"/>
      <c r="HK12" s="506"/>
      <c r="HL12" s="505"/>
      <c r="HM12" s="506"/>
      <c r="HN12" s="505"/>
      <c r="HO12" s="506"/>
      <c r="HP12" s="505"/>
      <c r="HQ12" s="506"/>
      <c r="HR12" s="505"/>
      <c r="HS12" s="506"/>
      <c r="HT12" s="505"/>
      <c r="HU12" s="506"/>
      <c r="HV12" s="505"/>
      <c r="HW12" s="506"/>
      <c r="HX12" s="505"/>
    </row>
    <row r="13" spans="1:232" ht="13.5" thickBot="1" x14ac:dyDescent="0.25">
      <c r="A13" s="502" t="s">
        <v>412</v>
      </c>
      <c r="B13" s="508"/>
      <c r="C13" s="504">
        <v>82</v>
      </c>
      <c r="D13" s="505">
        <v>0</v>
      </c>
      <c r="E13" s="506">
        <f t="shared" si="0"/>
        <v>0</v>
      </c>
      <c r="F13" s="505">
        <v>9.6</v>
      </c>
      <c r="G13" s="506">
        <f t="shared" si="1"/>
        <v>0</v>
      </c>
      <c r="H13" s="505">
        <v>0.15</v>
      </c>
      <c r="I13" s="506">
        <f t="shared" si="2"/>
        <v>0</v>
      </c>
      <c r="J13" s="505">
        <v>0.5</v>
      </c>
      <c r="K13" s="506">
        <f t="shared" si="3"/>
        <v>0</v>
      </c>
      <c r="L13" s="505">
        <v>4</v>
      </c>
      <c r="M13" s="506">
        <f t="shared" si="4"/>
        <v>0</v>
      </c>
      <c r="N13" s="505">
        <v>220</v>
      </c>
      <c r="O13" s="506">
        <f t="shared" si="5"/>
        <v>0</v>
      </c>
      <c r="P13" s="505">
        <v>79</v>
      </c>
      <c r="Q13" s="506">
        <f t="shared" si="6"/>
        <v>0</v>
      </c>
      <c r="R13" s="505">
        <v>0.04</v>
      </c>
      <c r="S13" s="506">
        <f t="shared" si="7"/>
        <v>0</v>
      </c>
      <c r="T13" s="505">
        <v>0.06</v>
      </c>
      <c r="U13" s="506">
        <f t="shared" si="8"/>
        <v>0</v>
      </c>
      <c r="V13" s="505">
        <v>1.5</v>
      </c>
      <c r="W13" s="506">
        <f t="shared" si="9"/>
        <v>0</v>
      </c>
      <c r="X13" s="505">
        <v>0.13</v>
      </c>
      <c r="Y13" s="506">
        <f t="shared" si="10"/>
        <v>0</v>
      </c>
      <c r="Z13" s="505">
        <v>1</v>
      </c>
      <c r="AA13" s="506">
        <f t="shared" si="11"/>
        <v>0</v>
      </c>
      <c r="AB13" s="505">
        <v>0</v>
      </c>
      <c r="AC13" s="506">
        <f t="shared" si="12"/>
        <v>0</v>
      </c>
      <c r="AD13" s="507" t="s">
        <v>401</v>
      </c>
      <c r="AE13" s="543"/>
      <c r="AF13" s="544"/>
      <c r="AG13" s="545"/>
      <c r="AH13" s="546"/>
      <c r="AI13" s="543"/>
      <c r="AJ13" s="546"/>
      <c r="AK13" s="543"/>
      <c r="AL13" s="546"/>
      <c r="AM13" s="543"/>
      <c r="AN13" s="546"/>
      <c r="AO13" s="543"/>
      <c r="AP13" s="546"/>
      <c r="AQ13" s="543"/>
      <c r="AR13" s="546"/>
      <c r="AS13" s="543"/>
      <c r="AT13" s="546"/>
      <c r="AU13" s="543"/>
      <c r="AV13" s="546"/>
      <c r="AW13" s="543"/>
      <c r="AX13" s="546"/>
      <c r="AY13" s="543"/>
      <c r="AZ13" s="546"/>
      <c r="BA13" s="543"/>
      <c r="BB13" s="546"/>
      <c r="BC13" s="543"/>
      <c r="BD13" s="546"/>
      <c r="BE13" s="543"/>
      <c r="BF13" s="546"/>
      <c r="BG13" s="543"/>
      <c r="BH13" s="547"/>
      <c r="BI13" s="543"/>
      <c r="BJ13" s="544"/>
      <c r="BK13" s="545"/>
      <c r="BL13" s="546"/>
      <c r="BM13" s="543"/>
      <c r="BN13" s="546"/>
      <c r="BO13" s="543"/>
      <c r="BP13" s="546"/>
      <c r="BQ13" s="543"/>
      <c r="BR13" s="546"/>
      <c r="BS13" s="543"/>
      <c r="BT13" s="546"/>
      <c r="BU13" s="543"/>
      <c r="BV13" s="546"/>
      <c r="BW13" s="543"/>
      <c r="BX13" s="546"/>
      <c r="BY13" s="543"/>
      <c r="BZ13" s="546"/>
      <c r="CA13" s="543"/>
      <c r="CB13" s="546"/>
      <c r="CC13" s="543"/>
      <c r="CD13" s="546"/>
      <c r="CE13" s="543"/>
      <c r="CF13" s="546"/>
      <c r="CG13" s="543"/>
      <c r="CH13" s="546"/>
      <c r="CI13" s="543"/>
      <c r="CJ13" s="546"/>
      <c r="CK13" s="543"/>
      <c r="CL13" s="547"/>
      <c r="CM13" s="543"/>
      <c r="CN13" s="544"/>
      <c r="CO13" s="545"/>
      <c r="CP13" s="546"/>
      <c r="CQ13" s="543"/>
      <c r="CR13" s="546"/>
      <c r="CS13" s="543"/>
      <c r="CT13" s="546"/>
      <c r="CU13" s="543"/>
      <c r="CV13" s="546"/>
      <c r="CW13" s="543"/>
      <c r="CX13" s="546"/>
      <c r="CY13" s="543"/>
      <c r="CZ13" s="546"/>
      <c r="DA13" s="543"/>
      <c r="DB13" s="546"/>
      <c r="DC13" s="543"/>
      <c r="DD13" s="546"/>
      <c r="DE13" s="543"/>
      <c r="DF13" s="546"/>
      <c r="DG13" s="535"/>
      <c r="DH13" s="505"/>
      <c r="DI13" s="506"/>
      <c r="DJ13" s="505"/>
      <c r="DK13" s="506"/>
      <c r="DL13" s="505"/>
      <c r="DM13" s="506"/>
      <c r="DN13" s="505"/>
      <c r="DO13" s="506"/>
      <c r="DP13" s="507"/>
      <c r="DQ13" s="502"/>
      <c r="DR13" s="508"/>
      <c r="DS13" s="504"/>
      <c r="DT13" s="505"/>
      <c r="DU13" s="506"/>
      <c r="DV13" s="505"/>
      <c r="DW13" s="506"/>
      <c r="DX13" s="505"/>
      <c r="DY13" s="506"/>
      <c r="DZ13" s="505"/>
      <c r="EA13" s="506"/>
      <c r="EB13" s="505"/>
      <c r="EC13" s="506"/>
      <c r="ED13" s="505"/>
      <c r="EE13" s="506"/>
      <c r="EF13" s="505"/>
      <c r="EG13" s="506"/>
      <c r="EH13" s="505"/>
      <c r="EI13" s="506"/>
      <c r="EJ13" s="505"/>
      <c r="EK13" s="506"/>
      <c r="EL13" s="505"/>
      <c r="EM13" s="506"/>
      <c r="EN13" s="505"/>
      <c r="EO13" s="506"/>
      <c r="EP13" s="505"/>
      <c r="EQ13" s="506"/>
      <c r="ER13" s="505"/>
      <c r="ES13" s="506"/>
      <c r="ET13" s="507"/>
      <c r="EU13" s="502"/>
      <c r="EV13" s="508"/>
      <c r="EW13" s="504"/>
      <c r="EX13" s="505"/>
      <c r="EY13" s="506"/>
      <c r="EZ13" s="505"/>
      <c r="FA13" s="506"/>
      <c r="FB13" s="505"/>
      <c r="FC13" s="506"/>
      <c r="FD13" s="505"/>
      <c r="FE13" s="506"/>
      <c r="FF13" s="505"/>
      <c r="FG13" s="506"/>
      <c r="FH13" s="505"/>
      <c r="FI13" s="506"/>
      <c r="FJ13" s="505"/>
      <c r="FK13" s="506"/>
      <c r="FL13" s="505"/>
      <c r="FM13" s="506"/>
      <c r="FN13" s="505"/>
      <c r="FO13" s="506"/>
      <c r="FP13" s="505"/>
      <c r="FQ13" s="506"/>
      <c r="FR13" s="505"/>
      <c r="FS13" s="506"/>
      <c r="FT13" s="505"/>
      <c r="FU13" s="506"/>
      <c r="FV13" s="505"/>
      <c r="FW13" s="506"/>
      <c r="FX13" s="507"/>
      <c r="FY13" s="502"/>
      <c r="FZ13" s="508"/>
      <c r="GA13" s="504"/>
      <c r="GB13" s="505"/>
      <c r="GC13" s="506"/>
      <c r="GD13" s="505"/>
      <c r="GE13" s="506"/>
      <c r="GF13" s="505"/>
      <c r="GG13" s="506"/>
      <c r="GH13" s="505"/>
      <c r="GI13" s="506"/>
      <c r="GJ13" s="505"/>
      <c r="GK13" s="506"/>
      <c r="GL13" s="505"/>
      <c r="GM13" s="506"/>
      <c r="GN13" s="505"/>
      <c r="GO13" s="506"/>
      <c r="GP13" s="505"/>
      <c r="GQ13" s="506"/>
      <c r="GR13" s="505"/>
      <c r="GS13" s="506"/>
      <c r="GT13" s="505"/>
      <c r="GU13" s="506"/>
      <c r="GV13" s="505"/>
      <c r="GW13" s="506"/>
      <c r="GX13" s="505"/>
      <c r="GY13" s="506"/>
      <c r="GZ13" s="505"/>
      <c r="HA13" s="506"/>
      <c r="HB13" s="507"/>
      <c r="HC13" s="502"/>
      <c r="HD13" s="508"/>
      <c r="HE13" s="504"/>
      <c r="HF13" s="505"/>
      <c r="HG13" s="506"/>
      <c r="HH13" s="505"/>
      <c r="HI13" s="506"/>
      <c r="HJ13" s="505"/>
      <c r="HK13" s="506"/>
      <c r="HL13" s="505"/>
      <c r="HM13" s="506"/>
      <c r="HN13" s="505"/>
      <c r="HO13" s="506"/>
      <c r="HP13" s="505"/>
      <c r="HQ13" s="506"/>
      <c r="HR13" s="505"/>
      <c r="HS13" s="506"/>
      <c r="HT13" s="505"/>
      <c r="HU13" s="506"/>
      <c r="HV13" s="505"/>
      <c r="HW13" s="506"/>
      <c r="HX13" s="505"/>
    </row>
    <row r="14" spans="1:232" ht="13.5" thickBot="1" x14ac:dyDescent="0.25">
      <c r="A14" s="502" t="s">
        <v>413</v>
      </c>
      <c r="B14" s="508"/>
      <c r="C14" s="504">
        <v>100</v>
      </c>
      <c r="D14" s="505">
        <v>0</v>
      </c>
      <c r="E14" s="506">
        <f t="shared" si="0"/>
        <v>0</v>
      </c>
      <c r="F14" s="505">
        <v>2</v>
      </c>
      <c r="G14" s="506">
        <f t="shared" si="1"/>
        <v>0</v>
      </c>
      <c r="H14" s="505">
        <v>0.28999999999999998</v>
      </c>
      <c r="I14" s="506">
        <f t="shared" si="2"/>
        <v>0</v>
      </c>
      <c r="J14" s="505">
        <v>0.7</v>
      </c>
      <c r="K14" s="506">
        <f t="shared" si="3"/>
        <v>0</v>
      </c>
      <c r="L14" s="505">
        <v>14</v>
      </c>
      <c r="M14" s="506">
        <f t="shared" si="4"/>
        <v>0</v>
      </c>
      <c r="N14" s="505">
        <v>120</v>
      </c>
      <c r="O14" s="506">
        <f t="shared" si="5"/>
        <v>0</v>
      </c>
      <c r="P14" s="505">
        <v>189</v>
      </c>
      <c r="Q14" s="506">
        <f t="shared" si="6"/>
        <v>0</v>
      </c>
      <c r="R14" s="505">
        <v>0.09</v>
      </c>
      <c r="S14" s="506">
        <f t="shared" si="7"/>
        <v>0</v>
      </c>
      <c r="T14" s="505">
        <v>0.08</v>
      </c>
      <c r="U14" s="506">
        <f t="shared" si="8"/>
        <v>0</v>
      </c>
      <c r="V14" s="505">
        <v>3.1</v>
      </c>
      <c r="W14" s="506">
        <f t="shared" si="9"/>
        <v>0</v>
      </c>
      <c r="X14" s="505">
        <v>0.22</v>
      </c>
      <c r="Y14" s="506">
        <f t="shared" si="10"/>
        <v>0</v>
      </c>
      <c r="Z14" s="505">
        <v>0</v>
      </c>
      <c r="AA14" s="506">
        <f t="shared" si="11"/>
        <v>0</v>
      </c>
      <c r="AB14" s="505">
        <v>0</v>
      </c>
      <c r="AC14" s="506">
        <f t="shared" si="12"/>
        <v>0</v>
      </c>
      <c r="AD14" s="507" t="s">
        <v>401</v>
      </c>
      <c r="AE14" s="543"/>
      <c r="AF14" s="544"/>
      <c r="AG14" s="545"/>
      <c r="AH14" s="546"/>
      <c r="AI14" s="543"/>
      <c r="AJ14" s="546"/>
      <c r="AK14" s="543"/>
      <c r="AL14" s="546"/>
      <c r="AM14" s="543"/>
      <c r="AN14" s="546"/>
      <c r="AO14" s="543"/>
      <c r="AP14" s="546"/>
      <c r="AQ14" s="543"/>
      <c r="AR14" s="546"/>
      <c r="AS14" s="543"/>
      <c r="AT14" s="546"/>
      <c r="AU14" s="543"/>
      <c r="AV14" s="546"/>
      <c r="AW14" s="543"/>
      <c r="AX14" s="546"/>
      <c r="AY14" s="543"/>
      <c r="AZ14" s="546"/>
      <c r="BA14" s="543"/>
      <c r="BB14" s="546"/>
      <c r="BC14" s="543"/>
      <c r="BD14" s="546"/>
      <c r="BE14" s="543"/>
      <c r="BF14" s="546"/>
      <c r="BG14" s="543"/>
      <c r="BH14" s="547"/>
      <c r="BI14" s="543"/>
      <c r="BJ14" s="544"/>
      <c r="BK14" s="545"/>
      <c r="BL14" s="546"/>
      <c r="BM14" s="543"/>
      <c r="BN14" s="546"/>
      <c r="BO14" s="543"/>
      <c r="BP14" s="546"/>
      <c r="BQ14" s="543"/>
      <c r="BR14" s="546"/>
      <c r="BS14" s="543"/>
      <c r="BT14" s="546"/>
      <c r="BU14" s="543"/>
      <c r="BV14" s="546"/>
      <c r="BW14" s="543"/>
      <c r="BX14" s="546"/>
      <c r="BY14" s="543"/>
      <c r="BZ14" s="546"/>
      <c r="CA14" s="543"/>
      <c r="CB14" s="546"/>
      <c r="CC14" s="543"/>
      <c r="CD14" s="546"/>
      <c r="CE14" s="543"/>
      <c r="CF14" s="546"/>
      <c r="CG14" s="543"/>
      <c r="CH14" s="546"/>
      <c r="CI14" s="543"/>
      <c r="CJ14" s="546"/>
      <c r="CK14" s="543"/>
      <c r="CL14" s="547"/>
      <c r="CM14" s="543"/>
      <c r="CN14" s="544"/>
      <c r="CO14" s="545"/>
      <c r="CP14" s="546"/>
      <c r="CQ14" s="543"/>
      <c r="CR14" s="546"/>
      <c r="CS14" s="543"/>
      <c r="CT14" s="546"/>
      <c r="CU14" s="543"/>
      <c r="CV14" s="546"/>
      <c r="CW14" s="543"/>
      <c r="CX14" s="546"/>
      <c r="CY14" s="543"/>
      <c r="CZ14" s="546"/>
      <c r="DA14" s="543"/>
      <c r="DB14" s="546"/>
      <c r="DC14" s="543"/>
      <c r="DD14" s="546"/>
      <c r="DE14" s="543"/>
      <c r="DF14" s="546"/>
      <c r="DG14" s="535"/>
      <c r="DH14" s="505"/>
      <c r="DI14" s="506"/>
      <c r="DJ14" s="505"/>
      <c r="DK14" s="506"/>
      <c r="DL14" s="505"/>
      <c r="DM14" s="506"/>
      <c r="DN14" s="505"/>
      <c r="DO14" s="506"/>
      <c r="DP14" s="507"/>
      <c r="DQ14" s="502"/>
      <c r="DR14" s="508"/>
      <c r="DS14" s="504"/>
      <c r="DT14" s="505"/>
      <c r="DU14" s="506"/>
      <c r="DV14" s="505"/>
      <c r="DW14" s="506"/>
      <c r="DX14" s="505"/>
      <c r="DY14" s="506"/>
      <c r="DZ14" s="505"/>
      <c r="EA14" s="506"/>
      <c r="EB14" s="505"/>
      <c r="EC14" s="506"/>
      <c r="ED14" s="505"/>
      <c r="EE14" s="506"/>
      <c r="EF14" s="505"/>
      <c r="EG14" s="506"/>
      <c r="EH14" s="505"/>
      <c r="EI14" s="506"/>
      <c r="EJ14" s="505"/>
      <c r="EK14" s="506"/>
      <c r="EL14" s="505"/>
      <c r="EM14" s="506"/>
      <c r="EN14" s="505"/>
      <c r="EO14" s="506"/>
      <c r="EP14" s="505"/>
      <c r="EQ14" s="506"/>
      <c r="ER14" s="505"/>
      <c r="ES14" s="506"/>
      <c r="ET14" s="507"/>
      <c r="EU14" s="502"/>
      <c r="EV14" s="508"/>
      <c r="EW14" s="504"/>
      <c r="EX14" s="505"/>
      <c r="EY14" s="506"/>
      <c r="EZ14" s="505"/>
      <c r="FA14" s="506"/>
      <c r="FB14" s="505"/>
      <c r="FC14" s="506"/>
      <c r="FD14" s="505"/>
      <c r="FE14" s="506"/>
      <c r="FF14" s="505"/>
      <c r="FG14" s="506"/>
      <c r="FH14" s="505"/>
      <c r="FI14" s="506"/>
      <c r="FJ14" s="505"/>
      <c r="FK14" s="506"/>
      <c r="FL14" s="505"/>
      <c r="FM14" s="506"/>
      <c r="FN14" s="505"/>
      <c r="FO14" s="506"/>
      <c r="FP14" s="505"/>
      <c r="FQ14" s="506"/>
      <c r="FR14" s="505"/>
      <c r="FS14" s="506"/>
      <c r="FT14" s="505"/>
      <c r="FU14" s="506"/>
      <c r="FV14" s="505"/>
      <c r="FW14" s="506"/>
      <c r="FX14" s="507"/>
      <c r="FY14" s="502"/>
      <c r="FZ14" s="508"/>
      <c r="GA14" s="504"/>
      <c r="GB14" s="505"/>
      <c r="GC14" s="506"/>
      <c r="GD14" s="505"/>
      <c r="GE14" s="506"/>
      <c r="GF14" s="505"/>
      <c r="GG14" s="506"/>
      <c r="GH14" s="505"/>
      <c r="GI14" s="506"/>
      <c r="GJ14" s="505"/>
      <c r="GK14" s="506"/>
      <c r="GL14" s="505"/>
      <c r="GM14" s="506"/>
      <c r="GN14" s="505"/>
      <c r="GO14" s="506"/>
      <c r="GP14" s="505"/>
      <c r="GQ14" s="506"/>
      <c r="GR14" s="505"/>
      <c r="GS14" s="506"/>
      <c r="GT14" s="505"/>
      <c r="GU14" s="506"/>
      <c r="GV14" s="505"/>
      <c r="GW14" s="506"/>
      <c r="GX14" s="505"/>
      <c r="GY14" s="506"/>
      <c r="GZ14" s="505"/>
      <c r="HA14" s="506"/>
      <c r="HB14" s="507"/>
      <c r="HC14" s="502"/>
      <c r="HD14" s="508"/>
      <c r="HE14" s="504"/>
      <c r="HF14" s="505"/>
      <c r="HG14" s="506"/>
      <c r="HH14" s="505"/>
      <c r="HI14" s="506"/>
      <c r="HJ14" s="505"/>
      <c r="HK14" s="506"/>
      <c r="HL14" s="505"/>
      <c r="HM14" s="506"/>
      <c r="HN14" s="505"/>
      <c r="HO14" s="506"/>
      <c r="HP14" s="505"/>
      <c r="HQ14" s="506"/>
      <c r="HR14" s="505"/>
      <c r="HS14" s="506"/>
      <c r="HT14" s="505"/>
      <c r="HU14" s="506"/>
      <c r="HV14" s="505"/>
      <c r="HW14" s="506"/>
      <c r="HX14" s="505"/>
    </row>
    <row r="15" spans="1:232" ht="13.5" thickBot="1" x14ac:dyDescent="0.25">
      <c r="A15" s="502" t="s">
        <v>414</v>
      </c>
      <c r="B15" s="508"/>
      <c r="C15" s="504">
        <v>100</v>
      </c>
      <c r="D15" s="505">
        <v>0</v>
      </c>
      <c r="E15" s="506">
        <f t="shared" si="0"/>
        <v>0</v>
      </c>
      <c r="F15" s="505">
        <v>3</v>
      </c>
      <c r="G15" s="506">
        <f t="shared" si="1"/>
        <v>0</v>
      </c>
      <c r="H15" s="505">
        <v>0.81</v>
      </c>
      <c r="I15" s="506">
        <f t="shared" si="2"/>
        <v>0</v>
      </c>
      <c r="J15" s="505">
        <v>3</v>
      </c>
      <c r="K15" s="506">
        <f t="shared" si="3"/>
        <v>0</v>
      </c>
      <c r="L15" s="505">
        <v>108</v>
      </c>
      <c r="M15" s="506">
        <f t="shared" si="4"/>
        <v>0</v>
      </c>
      <c r="N15" s="505">
        <v>119</v>
      </c>
      <c r="O15" s="506">
        <f t="shared" si="5"/>
        <v>0</v>
      </c>
      <c r="P15" s="505">
        <v>94</v>
      </c>
      <c r="Q15" s="506">
        <f t="shared" si="6"/>
        <v>0</v>
      </c>
      <c r="R15" s="505">
        <v>0.47</v>
      </c>
      <c r="S15" s="506">
        <f t="shared" si="7"/>
        <v>0</v>
      </c>
      <c r="T15" s="505">
        <v>0.34</v>
      </c>
      <c r="U15" s="506">
        <f t="shared" si="8"/>
        <v>0</v>
      </c>
      <c r="V15" s="505">
        <v>4</v>
      </c>
      <c r="W15" s="506">
        <f t="shared" si="9"/>
        <v>0</v>
      </c>
      <c r="X15" s="505">
        <v>0.06</v>
      </c>
      <c r="Y15" s="506">
        <f t="shared" si="10"/>
        <v>0</v>
      </c>
      <c r="Z15" s="505">
        <v>0</v>
      </c>
      <c r="AA15" s="506">
        <f t="shared" si="11"/>
        <v>0</v>
      </c>
      <c r="AB15" s="505">
        <v>0</v>
      </c>
      <c r="AC15" s="506">
        <f t="shared" si="12"/>
        <v>0</v>
      </c>
      <c r="AD15" s="507" t="s">
        <v>401</v>
      </c>
      <c r="AE15" s="543"/>
      <c r="AF15" s="544"/>
      <c r="AG15" s="545"/>
      <c r="AH15" s="546"/>
      <c r="AI15" s="543"/>
      <c r="AJ15" s="546"/>
      <c r="AK15" s="543"/>
      <c r="AL15" s="546"/>
      <c r="AM15" s="543"/>
      <c r="AN15" s="546"/>
      <c r="AO15" s="543"/>
      <c r="AP15" s="546"/>
      <c r="AQ15" s="543"/>
      <c r="AR15" s="546"/>
      <c r="AS15" s="543"/>
      <c r="AT15" s="546"/>
      <c r="AU15" s="543"/>
      <c r="AV15" s="546"/>
      <c r="AW15" s="543"/>
      <c r="AX15" s="546"/>
      <c r="AY15" s="543"/>
      <c r="AZ15" s="546"/>
      <c r="BA15" s="543"/>
      <c r="BB15" s="546"/>
      <c r="BC15" s="543"/>
      <c r="BD15" s="546"/>
      <c r="BE15" s="543"/>
      <c r="BF15" s="546"/>
      <c r="BG15" s="543"/>
      <c r="BH15" s="547"/>
      <c r="BI15" s="543"/>
      <c r="BJ15" s="544"/>
      <c r="BK15" s="545"/>
      <c r="BL15" s="546"/>
      <c r="BM15" s="543"/>
      <c r="BN15" s="546"/>
      <c r="BO15" s="543"/>
      <c r="BP15" s="546"/>
      <c r="BQ15" s="543"/>
      <c r="BR15" s="546"/>
      <c r="BS15" s="543"/>
      <c r="BT15" s="546"/>
      <c r="BU15" s="543"/>
      <c r="BV15" s="546"/>
      <c r="BW15" s="543"/>
      <c r="BX15" s="546"/>
      <c r="BY15" s="543"/>
      <c r="BZ15" s="546"/>
      <c r="CA15" s="543"/>
      <c r="CB15" s="546"/>
      <c r="CC15" s="543"/>
      <c r="CD15" s="546"/>
      <c r="CE15" s="543"/>
      <c r="CF15" s="546"/>
      <c r="CG15" s="543"/>
      <c r="CH15" s="546"/>
      <c r="CI15" s="543"/>
      <c r="CJ15" s="546"/>
      <c r="CK15" s="543"/>
      <c r="CL15" s="547"/>
      <c r="CM15" s="543"/>
      <c r="CN15" s="544"/>
      <c r="CO15" s="545"/>
      <c r="CP15" s="546"/>
      <c r="CQ15" s="543"/>
      <c r="CR15" s="546"/>
      <c r="CS15" s="543"/>
      <c r="CT15" s="546"/>
      <c r="CU15" s="543"/>
      <c r="CV15" s="546"/>
      <c r="CW15" s="543"/>
      <c r="CX15" s="546"/>
      <c r="CY15" s="543"/>
      <c r="CZ15" s="546"/>
      <c r="DA15" s="543"/>
      <c r="DB15" s="546"/>
      <c r="DC15" s="543"/>
      <c r="DD15" s="546"/>
      <c r="DE15" s="543"/>
      <c r="DF15" s="546"/>
      <c r="DG15" s="535"/>
      <c r="DH15" s="505"/>
      <c r="DI15" s="506"/>
      <c r="DJ15" s="505"/>
      <c r="DK15" s="506"/>
      <c r="DL15" s="505"/>
      <c r="DM15" s="506"/>
      <c r="DN15" s="505"/>
      <c r="DO15" s="506"/>
      <c r="DP15" s="507"/>
      <c r="DQ15" s="502"/>
      <c r="DR15" s="508"/>
      <c r="DS15" s="504"/>
      <c r="DT15" s="505"/>
      <c r="DU15" s="506"/>
      <c r="DV15" s="505"/>
      <c r="DW15" s="506"/>
      <c r="DX15" s="505"/>
      <c r="DY15" s="506"/>
      <c r="DZ15" s="505"/>
      <c r="EA15" s="506"/>
      <c r="EB15" s="505"/>
      <c r="EC15" s="506"/>
      <c r="ED15" s="505"/>
      <c r="EE15" s="506"/>
      <c r="EF15" s="505"/>
      <c r="EG15" s="506"/>
      <c r="EH15" s="505"/>
      <c r="EI15" s="506"/>
      <c r="EJ15" s="505"/>
      <c r="EK15" s="506"/>
      <c r="EL15" s="505"/>
      <c r="EM15" s="506"/>
      <c r="EN15" s="505"/>
      <c r="EO15" s="506"/>
      <c r="EP15" s="505"/>
      <c r="EQ15" s="506"/>
      <c r="ER15" s="505"/>
      <c r="ES15" s="506"/>
      <c r="ET15" s="507"/>
      <c r="EU15" s="502"/>
      <c r="EV15" s="508"/>
      <c r="EW15" s="504"/>
      <c r="EX15" s="505"/>
      <c r="EY15" s="506"/>
      <c r="EZ15" s="505"/>
      <c r="FA15" s="506"/>
      <c r="FB15" s="505"/>
      <c r="FC15" s="506"/>
      <c r="FD15" s="505"/>
      <c r="FE15" s="506"/>
      <c r="FF15" s="505"/>
      <c r="FG15" s="506"/>
      <c r="FH15" s="505"/>
      <c r="FI15" s="506"/>
      <c r="FJ15" s="505"/>
      <c r="FK15" s="506"/>
      <c r="FL15" s="505"/>
      <c r="FM15" s="506"/>
      <c r="FN15" s="505"/>
      <c r="FO15" s="506"/>
      <c r="FP15" s="505"/>
      <c r="FQ15" s="506"/>
      <c r="FR15" s="505"/>
      <c r="FS15" s="506"/>
      <c r="FT15" s="505"/>
      <c r="FU15" s="506"/>
      <c r="FV15" s="505"/>
      <c r="FW15" s="506"/>
      <c r="FX15" s="507"/>
      <c r="FY15" s="502"/>
      <c r="FZ15" s="508"/>
      <c r="GA15" s="504"/>
      <c r="GB15" s="505"/>
      <c r="GC15" s="506"/>
      <c r="GD15" s="505"/>
      <c r="GE15" s="506"/>
      <c r="GF15" s="505"/>
      <c r="GG15" s="506"/>
      <c r="GH15" s="505"/>
      <c r="GI15" s="506"/>
      <c r="GJ15" s="505"/>
      <c r="GK15" s="506"/>
      <c r="GL15" s="505"/>
      <c r="GM15" s="506"/>
      <c r="GN15" s="505"/>
      <c r="GO15" s="506"/>
      <c r="GP15" s="505"/>
      <c r="GQ15" s="506"/>
      <c r="GR15" s="505"/>
      <c r="GS15" s="506"/>
      <c r="GT15" s="505"/>
      <c r="GU15" s="506"/>
      <c r="GV15" s="505"/>
      <c r="GW15" s="506"/>
      <c r="GX15" s="505"/>
      <c r="GY15" s="506"/>
      <c r="GZ15" s="505"/>
      <c r="HA15" s="506"/>
      <c r="HB15" s="507"/>
      <c r="HC15" s="502"/>
      <c r="HD15" s="508"/>
      <c r="HE15" s="504"/>
      <c r="HF15" s="505"/>
      <c r="HG15" s="506"/>
      <c r="HH15" s="505"/>
      <c r="HI15" s="506"/>
      <c r="HJ15" s="505"/>
      <c r="HK15" s="506"/>
      <c r="HL15" s="505"/>
      <c r="HM15" s="506"/>
      <c r="HN15" s="505"/>
      <c r="HO15" s="506"/>
      <c r="HP15" s="505"/>
      <c r="HQ15" s="506"/>
      <c r="HR15" s="505"/>
      <c r="HS15" s="506"/>
      <c r="HT15" s="505"/>
      <c r="HU15" s="506"/>
      <c r="HV15" s="505"/>
      <c r="HW15" s="506"/>
      <c r="HX15" s="505"/>
    </row>
    <row r="16" spans="1:232" ht="13.5" thickBot="1" x14ac:dyDescent="0.25">
      <c r="A16" s="502" t="s">
        <v>415</v>
      </c>
      <c r="B16" s="508"/>
      <c r="C16" s="504">
        <v>100</v>
      </c>
      <c r="D16" s="505">
        <v>1</v>
      </c>
      <c r="E16" s="506">
        <f t="shared" si="0"/>
        <v>0</v>
      </c>
      <c r="F16" s="505">
        <v>3.6</v>
      </c>
      <c r="G16" s="506">
        <f t="shared" si="1"/>
        <v>0</v>
      </c>
      <c r="H16" s="505">
        <v>2.7</v>
      </c>
      <c r="I16" s="506">
        <f t="shared" si="2"/>
        <v>0</v>
      </c>
      <c r="J16" s="505">
        <v>1.7</v>
      </c>
      <c r="K16" s="506">
        <f t="shared" si="3"/>
        <v>0</v>
      </c>
      <c r="L16" s="505">
        <v>70</v>
      </c>
      <c r="M16" s="506">
        <f t="shared" si="4"/>
        <v>0</v>
      </c>
      <c r="N16" s="505">
        <v>250</v>
      </c>
      <c r="O16" s="506">
        <f t="shared" si="5"/>
        <v>0</v>
      </c>
      <c r="P16" s="505">
        <v>140</v>
      </c>
      <c r="Q16" s="506">
        <f t="shared" si="6"/>
        <v>0</v>
      </c>
      <c r="R16" s="505">
        <v>0.1</v>
      </c>
      <c r="S16" s="506">
        <f t="shared" si="7"/>
        <v>0</v>
      </c>
      <c r="T16" s="505">
        <v>0.11</v>
      </c>
      <c r="U16" s="506">
        <f t="shared" si="8"/>
        <v>0</v>
      </c>
      <c r="V16" s="505">
        <v>0.7</v>
      </c>
      <c r="W16" s="506">
        <f t="shared" si="9"/>
        <v>0</v>
      </c>
      <c r="X16" s="505">
        <v>0.11</v>
      </c>
      <c r="Y16" s="506">
        <f t="shared" si="10"/>
        <v>0</v>
      </c>
      <c r="Z16" s="505">
        <v>2</v>
      </c>
      <c r="AA16" s="506">
        <f t="shared" si="11"/>
        <v>0</v>
      </c>
      <c r="AB16" s="505">
        <v>0</v>
      </c>
      <c r="AC16" s="506">
        <f t="shared" si="12"/>
        <v>0</v>
      </c>
      <c r="AD16" s="507" t="s">
        <v>401</v>
      </c>
      <c r="AE16" s="543"/>
      <c r="AF16" s="544"/>
      <c r="AG16" s="545"/>
      <c r="AH16" s="546"/>
      <c r="AI16" s="543"/>
      <c r="AJ16" s="546"/>
      <c r="AK16" s="543"/>
      <c r="AL16" s="546"/>
      <c r="AM16" s="543"/>
      <c r="AN16" s="546"/>
      <c r="AO16" s="543"/>
      <c r="AP16" s="546"/>
      <c r="AQ16" s="543"/>
      <c r="AR16" s="546"/>
      <c r="AS16" s="543"/>
      <c r="AT16" s="546"/>
      <c r="AU16" s="543"/>
      <c r="AV16" s="546"/>
      <c r="AW16" s="543"/>
      <c r="AX16" s="546"/>
      <c r="AY16" s="543"/>
      <c r="AZ16" s="546"/>
      <c r="BA16" s="543"/>
      <c r="BB16" s="546"/>
      <c r="BC16" s="543"/>
      <c r="BD16" s="546"/>
      <c r="BE16" s="543"/>
      <c r="BF16" s="546"/>
      <c r="BG16" s="543"/>
      <c r="BH16" s="547"/>
      <c r="BI16" s="543"/>
      <c r="BJ16" s="544"/>
      <c r="BK16" s="545"/>
      <c r="BL16" s="546"/>
      <c r="BM16" s="543"/>
      <c r="BN16" s="546"/>
      <c r="BO16" s="543"/>
      <c r="BP16" s="546"/>
      <c r="BQ16" s="543"/>
      <c r="BR16" s="546"/>
      <c r="BS16" s="543"/>
      <c r="BT16" s="546"/>
      <c r="BU16" s="543"/>
      <c r="BV16" s="546"/>
      <c r="BW16" s="543"/>
      <c r="BX16" s="546"/>
      <c r="BY16" s="543"/>
      <c r="BZ16" s="546"/>
      <c r="CA16" s="543"/>
      <c r="CB16" s="546"/>
      <c r="CC16" s="543"/>
      <c r="CD16" s="546"/>
      <c r="CE16" s="543"/>
      <c r="CF16" s="546"/>
      <c r="CG16" s="543"/>
      <c r="CH16" s="546"/>
      <c r="CI16" s="543"/>
      <c r="CJ16" s="546"/>
      <c r="CK16" s="543"/>
      <c r="CL16" s="547"/>
      <c r="CM16" s="543"/>
      <c r="CN16" s="544"/>
      <c r="CO16" s="545"/>
      <c r="CP16" s="546"/>
      <c r="CQ16" s="543"/>
      <c r="CR16" s="546"/>
      <c r="CS16" s="543"/>
      <c r="CT16" s="546"/>
      <c r="CU16" s="543"/>
      <c r="CV16" s="546"/>
      <c r="CW16" s="543"/>
      <c r="CX16" s="546"/>
      <c r="CY16" s="543"/>
      <c r="CZ16" s="546"/>
      <c r="DA16" s="543"/>
      <c r="DB16" s="546"/>
      <c r="DC16" s="543"/>
      <c r="DD16" s="546"/>
      <c r="DE16" s="543"/>
      <c r="DF16" s="546"/>
      <c r="DG16" s="535"/>
      <c r="DH16" s="505"/>
      <c r="DI16" s="506"/>
      <c r="DJ16" s="505"/>
      <c r="DK16" s="506"/>
      <c r="DL16" s="505"/>
      <c r="DM16" s="506"/>
      <c r="DN16" s="505"/>
      <c r="DO16" s="506"/>
      <c r="DP16" s="507"/>
      <c r="DQ16" s="502"/>
      <c r="DR16" s="508"/>
      <c r="DS16" s="504"/>
      <c r="DT16" s="505"/>
      <c r="DU16" s="506"/>
      <c r="DV16" s="505"/>
      <c r="DW16" s="506"/>
      <c r="DX16" s="505"/>
      <c r="DY16" s="506"/>
      <c r="DZ16" s="505"/>
      <c r="EA16" s="506"/>
      <c r="EB16" s="505"/>
      <c r="EC16" s="506"/>
      <c r="ED16" s="505"/>
      <c r="EE16" s="506"/>
      <c r="EF16" s="505"/>
      <c r="EG16" s="506"/>
      <c r="EH16" s="505"/>
      <c r="EI16" s="506"/>
      <c r="EJ16" s="505"/>
      <c r="EK16" s="506"/>
      <c r="EL16" s="505"/>
      <c r="EM16" s="506"/>
      <c r="EN16" s="505"/>
      <c r="EO16" s="506"/>
      <c r="EP16" s="505"/>
      <c r="EQ16" s="506"/>
      <c r="ER16" s="505"/>
      <c r="ES16" s="506"/>
      <c r="ET16" s="507"/>
      <c r="EU16" s="502"/>
      <c r="EV16" s="508"/>
      <c r="EW16" s="504"/>
      <c r="EX16" s="505"/>
      <c r="EY16" s="506"/>
      <c r="EZ16" s="505"/>
      <c r="FA16" s="506"/>
      <c r="FB16" s="505"/>
      <c r="FC16" s="506"/>
      <c r="FD16" s="505"/>
      <c r="FE16" s="506"/>
      <c r="FF16" s="505"/>
      <c r="FG16" s="506"/>
      <c r="FH16" s="505"/>
      <c r="FI16" s="506"/>
      <c r="FJ16" s="505"/>
      <c r="FK16" s="506"/>
      <c r="FL16" s="505"/>
      <c r="FM16" s="506"/>
      <c r="FN16" s="505"/>
      <c r="FO16" s="506"/>
      <c r="FP16" s="505"/>
      <c r="FQ16" s="506"/>
      <c r="FR16" s="505"/>
      <c r="FS16" s="506"/>
      <c r="FT16" s="505"/>
      <c r="FU16" s="506"/>
      <c r="FV16" s="505"/>
      <c r="FW16" s="506"/>
      <c r="FX16" s="507"/>
      <c r="FY16" s="502"/>
      <c r="FZ16" s="508"/>
      <c r="GA16" s="504"/>
      <c r="GB16" s="505"/>
      <c r="GC16" s="506"/>
      <c r="GD16" s="505"/>
      <c r="GE16" s="506"/>
      <c r="GF16" s="505"/>
      <c r="GG16" s="506"/>
      <c r="GH16" s="505"/>
      <c r="GI16" s="506"/>
      <c r="GJ16" s="505"/>
      <c r="GK16" s="506"/>
      <c r="GL16" s="505"/>
      <c r="GM16" s="506"/>
      <c r="GN16" s="505"/>
      <c r="GO16" s="506"/>
      <c r="GP16" s="505"/>
      <c r="GQ16" s="506"/>
      <c r="GR16" s="505"/>
      <c r="GS16" s="506"/>
      <c r="GT16" s="505"/>
      <c r="GU16" s="506"/>
      <c r="GV16" s="505"/>
      <c r="GW16" s="506"/>
      <c r="GX16" s="505"/>
      <c r="GY16" s="506"/>
      <c r="GZ16" s="505"/>
      <c r="HA16" s="506"/>
      <c r="HB16" s="507"/>
      <c r="HC16" s="502"/>
      <c r="HD16" s="508"/>
      <c r="HE16" s="504"/>
      <c r="HF16" s="505"/>
      <c r="HG16" s="506"/>
      <c r="HH16" s="505"/>
      <c r="HI16" s="506"/>
      <c r="HJ16" s="505"/>
      <c r="HK16" s="506"/>
      <c r="HL16" s="505"/>
      <c r="HM16" s="506"/>
      <c r="HN16" s="505"/>
      <c r="HO16" s="506"/>
      <c r="HP16" s="505"/>
      <c r="HQ16" s="506"/>
      <c r="HR16" s="505"/>
      <c r="HS16" s="506"/>
      <c r="HT16" s="505"/>
      <c r="HU16" s="506"/>
      <c r="HV16" s="505"/>
      <c r="HW16" s="506"/>
      <c r="HX16" s="505"/>
    </row>
    <row r="17" spans="1:232" ht="13.5" thickBot="1" x14ac:dyDescent="0.25">
      <c r="A17" s="502" t="s">
        <v>697</v>
      </c>
      <c r="B17" s="508">
        <v>440</v>
      </c>
      <c r="C17" s="504">
        <v>100</v>
      </c>
      <c r="D17" s="505">
        <v>0</v>
      </c>
      <c r="E17" s="506">
        <f t="shared" si="0"/>
        <v>0</v>
      </c>
      <c r="F17" s="505">
        <v>0.6</v>
      </c>
      <c r="G17" s="506">
        <f t="shared" si="1"/>
        <v>2.64</v>
      </c>
      <c r="H17" s="505">
        <v>0.05</v>
      </c>
      <c r="I17" s="506">
        <f t="shared" si="2"/>
        <v>0.22</v>
      </c>
      <c r="J17" s="505">
        <v>1.7</v>
      </c>
      <c r="K17" s="506">
        <f t="shared" si="3"/>
        <v>7.48</v>
      </c>
      <c r="L17" s="505">
        <v>64</v>
      </c>
      <c r="M17" s="506">
        <f t="shared" si="4"/>
        <v>281.60000000000002</v>
      </c>
      <c r="N17" s="505">
        <v>161</v>
      </c>
      <c r="O17" s="506">
        <f t="shared" si="5"/>
        <v>708.4</v>
      </c>
      <c r="P17" s="505">
        <v>100</v>
      </c>
      <c r="Q17" s="506">
        <f t="shared" si="6"/>
        <v>440</v>
      </c>
      <c r="R17" s="505">
        <v>0.02</v>
      </c>
      <c r="S17" s="506">
        <f t="shared" si="7"/>
        <v>8.8000000000000009E-2</v>
      </c>
      <c r="T17" s="505">
        <v>0.03</v>
      </c>
      <c r="U17" s="506">
        <f t="shared" si="8"/>
        <v>0.13200000000000001</v>
      </c>
      <c r="V17" s="505">
        <v>1.4</v>
      </c>
      <c r="W17" s="506">
        <f t="shared" si="9"/>
        <v>6.16</v>
      </c>
      <c r="X17" s="505">
        <v>7.0000000000000007E-2</v>
      </c>
      <c r="Y17" s="506">
        <f t="shared" si="10"/>
        <v>0.30800000000000005</v>
      </c>
      <c r="Z17" s="505">
        <v>0</v>
      </c>
      <c r="AA17" s="506">
        <f t="shared" si="11"/>
        <v>0</v>
      </c>
      <c r="AB17" s="505">
        <v>0</v>
      </c>
      <c r="AC17" s="506">
        <f t="shared" si="12"/>
        <v>0</v>
      </c>
      <c r="AD17" s="507" t="s">
        <v>401</v>
      </c>
      <c r="AE17" s="543"/>
      <c r="AF17" s="544"/>
      <c r="AG17" s="545"/>
      <c r="AH17" s="546"/>
      <c r="AI17" s="543"/>
      <c r="AJ17" s="546"/>
      <c r="AK17" s="543"/>
      <c r="AL17" s="546"/>
      <c r="AM17" s="543"/>
      <c r="AN17" s="546"/>
      <c r="AO17" s="543"/>
      <c r="AP17" s="546"/>
      <c r="AQ17" s="543"/>
      <c r="AR17" s="546"/>
      <c r="AS17" s="543"/>
      <c r="AT17" s="546"/>
      <c r="AU17" s="543"/>
      <c r="AV17" s="546"/>
      <c r="AW17" s="543"/>
      <c r="AX17" s="546"/>
      <c r="AY17" s="543"/>
      <c r="AZ17" s="546"/>
      <c r="BA17" s="543"/>
      <c r="BB17" s="546"/>
      <c r="BC17" s="543"/>
      <c r="BD17" s="546"/>
      <c r="BE17" s="543"/>
      <c r="BF17" s="546"/>
      <c r="BG17" s="543"/>
      <c r="BH17" s="547"/>
      <c r="BI17" s="543"/>
      <c r="BJ17" s="544"/>
      <c r="BK17" s="545"/>
      <c r="BL17" s="546"/>
      <c r="BM17" s="543"/>
      <c r="BN17" s="546"/>
      <c r="BO17" s="543"/>
      <c r="BP17" s="546"/>
      <c r="BQ17" s="543"/>
      <c r="BR17" s="546"/>
      <c r="BS17" s="543"/>
      <c r="BT17" s="546"/>
      <c r="BU17" s="543"/>
      <c r="BV17" s="546"/>
      <c r="BW17" s="543"/>
      <c r="BX17" s="546"/>
      <c r="BY17" s="543"/>
      <c r="BZ17" s="546"/>
      <c r="CA17" s="543"/>
      <c r="CB17" s="546"/>
      <c r="CC17" s="543"/>
      <c r="CD17" s="546"/>
      <c r="CE17" s="543"/>
      <c r="CF17" s="546"/>
      <c r="CG17" s="543"/>
      <c r="CH17" s="546"/>
      <c r="CI17" s="543"/>
      <c r="CJ17" s="546"/>
      <c r="CK17" s="543"/>
      <c r="CL17" s="547"/>
      <c r="CM17" s="543"/>
      <c r="CN17" s="544"/>
      <c r="CO17" s="545"/>
      <c r="CP17" s="546"/>
      <c r="CQ17" s="543"/>
      <c r="CR17" s="546"/>
      <c r="CS17" s="543"/>
      <c r="CT17" s="546"/>
      <c r="CU17" s="543"/>
      <c r="CV17" s="546"/>
      <c r="CW17" s="543"/>
      <c r="CX17" s="546"/>
      <c r="CY17" s="543"/>
      <c r="CZ17" s="546"/>
      <c r="DA17" s="543"/>
      <c r="DB17" s="546"/>
      <c r="DC17" s="543"/>
      <c r="DD17" s="546"/>
      <c r="DE17" s="543"/>
      <c r="DF17" s="546"/>
      <c r="DG17" s="535"/>
      <c r="DH17" s="505"/>
      <c r="DI17" s="506"/>
      <c r="DJ17" s="505"/>
      <c r="DK17" s="506"/>
      <c r="DL17" s="505"/>
      <c r="DM17" s="506"/>
      <c r="DN17" s="505"/>
      <c r="DO17" s="506"/>
      <c r="DP17" s="507"/>
      <c r="DQ17" s="502"/>
      <c r="DR17" s="508"/>
      <c r="DS17" s="504"/>
      <c r="DT17" s="505"/>
      <c r="DU17" s="506"/>
      <c r="DV17" s="505"/>
      <c r="DW17" s="506"/>
      <c r="DX17" s="505"/>
      <c r="DY17" s="506"/>
      <c r="DZ17" s="505"/>
      <c r="EA17" s="506"/>
      <c r="EB17" s="505"/>
      <c r="EC17" s="506"/>
      <c r="ED17" s="505"/>
      <c r="EE17" s="506"/>
      <c r="EF17" s="505"/>
      <c r="EG17" s="506"/>
      <c r="EH17" s="505"/>
      <c r="EI17" s="506"/>
      <c r="EJ17" s="505"/>
      <c r="EK17" s="506"/>
      <c r="EL17" s="505"/>
      <c r="EM17" s="506"/>
      <c r="EN17" s="505"/>
      <c r="EO17" s="506"/>
      <c r="EP17" s="505"/>
      <c r="EQ17" s="506"/>
      <c r="ER17" s="505"/>
      <c r="ES17" s="506"/>
      <c r="ET17" s="507"/>
      <c r="EU17" s="502"/>
      <c r="EV17" s="508"/>
      <c r="EW17" s="504"/>
      <c r="EX17" s="505"/>
      <c r="EY17" s="506"/>
      <c r="EZ17" s="505"/>
      <c r="FA17" s="506"/>
      <c r="FB17" s="505"/>
      <c r="FC17" s="506"/>
      <c r="FD17" s="505"/>
      <c r="FE17" s="506"/>
      <c r="FF17" s="505"/>
      <c r="FG17" s="506"/>
      <c r="FH17" s="505"/>
      <c r="FI17" s="506"/>
      <c r="FJ17" s="505"/>
      <c r="FK17" s="506"/>
      <c r="FL17" s="505"/>
      <c r="FM17" s="506"/>
      <c r="FN17" s="505"/>
      <c r="FO17" s="506"/>
      <c r="FP17" s="505"/>
      <c r="FQ17" s="506"/>
      <c r="FR17" s="505"/>
      <c r="FS17" s="506"/>
      <c r="FT17" s="505"/>
      <c r="FU17" s="506"/>
      <c r="FV17" s="505"/>
      <c r="FW17" s="506"/>
      <c r="FX17" s="507"/>
      <c r="FY17" s="502"/>
      <c r="FZ17" s="508"/>
      <c r="GA17" s="504"/>
      <c r="GB17" s="505"/>
      <c r="GC17" s="506"/>
      <c r="GD17" s="505"/>
      <c r="GE17" s="506"/>
      <c r="GF17" s="505"/>
      <c r="GG17" s="506"/>
      <c r="GH17" s="505"/>
      <c r="GI17" s="506"/>
      <c r="GJ17" s="505"/>
      <c r="GK17" s="506"/>
      <c r="GL17" s="505"/>
      <c r="GM17" s="506"/>
      <c r="GN17" s="505"/>
      <c r="GO17" s="506"/>
      <c r="GP17" s="505"/>
      <c r="GQ17" s="506"/>
      <c r="GR17" s="505"/>
      <c r="GS17" s="506"/>
      <c r="GT17" s="505"/>
      <c r="GU17" s="506"/>
      <c r="GV17" s="505"/>
      <c r="GW17" s="506"/>
      <c r="GX17" s="505"/>
      <c r="GY17" s="506"/>
      <c r="GZ17" s="505"/>
      <c r="HA17" s="506"/>
      <c r="HB17" s="507"/>
      <c r="HC17" s="502"/>
      <c r="HD17" s="508"/>
      <c r="HE17" s="504"/>
      <c r="HF17" s="505"/>
      <c r="HG17" s="506"/>
      <c r="HH17" s="505"/>
      <c r="HI17" s="506"/>
      <c r="HJ17" s="505"/>
      <c r="HK17" s="506"/>
      <c r="HL17" s="505"/>
      <c r="HM17" s="506"/>
      <c r="HN17" s="505"/>
      <c r="HO17" s="506"/>
      <c r="HP17" s="505"/>
      <c r="HQ17" s="506"/>
      <c r="HR17" s="505"/>
      <c r="HS17" s="506"/>
      <c r="HT17" s="505"/>
      <c r="HU17" s="506"/>
      <c r="HV17" s="505"/>
      <c r="HW17" s="506"/>
      <c r="HX17" s="505"/>
    </row>
    <row r="18" spans="1:232" ht="13.5" thickBot="1" x14ac:dyDescent="0.25">
      <c r="A18" s="502" t="s">
        <v>416</v>
      </c>
      <c r="B18" s="508"/>
      <c r="C18" s="504">
        <v>100</v>
      </c>
      <c r="D18" s="505">
        <v>0</v>
      </c>
      <c r="E18" s="506">
        <f t="shared" si="0"/>
        <v>0</v>
      </c>
      <c r="F18" s="505">
        <v>2.5</v>
      </c>
      <c r="G18" s="506">
        <f t="shared" si="1"/>
        <v>0</v>
      </c>
      <c r="H18" s="505">
        <v>0.3</v>
      </c>
      <c r="I18" s="506">
        <f t="shared" si="2"/>
        <v>0</v>
      </c>
      <c r="J18" s="505">
        <v>2.5</v>
      </c>
      <c r="K18" s="506">
        <f t="shared" si="3"/>
        <v>0</v>
      </c>
      <c r="L18" s="505">
        <v>25</v>
      </c>
      <c r="M18" s="506">
        <f t="shared" si="4"/>
        <v>0</v>
      </c>
      <c r="N18" s="505">
        <v>210</v>
      </c>
      <c r="O18" s="506">
        <f t="shared" si="5"/>
        <v>0</v>
      </c>
      <c r="P18" s="505">
        <v>180</v>
      </c>
      <c r="Q18" s="506">
        <f t="shared" si="6"/>
        <v>0</v>
      </c>
      <c r="R18" s="505">
        <v>0.1</v>
      </c>
      <c r="S18" s="506">
        <f t="shared" si="7"/>
        <v>0</v>
      </c>
      <c r="T18" s="505">
        <v>0.12</v>
      </c>
      <c r="U18" s="506">
        <f t="shared" si="8"/>
        <v>0</v>
      </c>
      <c r="V18" s="505">
        <v>2.9</v>
      </c>
      <c r="W18" s="506">
        <f t="shared" si="9"/>
        <v>0</v>
      </c>
      <c r="X18" s="505">
        <v>0.12</v>
      </c>
      <c r="Y18" s="506">
        <f t="shared" si="10"/>
        <v>0</v>
      </c>
      <c r="Z18" s="505">
        <v>0</v>
      </c>
      <c r="AA18" s="506">
        <f t="shared" si="11"/>
        <v>0</v>
      </c>
      <c r="AB18" s="505">
        <v>0</v>
      </c>
      <c r="AC18" s="506">
        <f t="shared" si="12"/>
        <v>0</v>
      </c>
      <c r="AD18" s="507" t="s">
        <v>401</v>
      </c>
      <c r="AE18" s="543"/>
      <c r="AF18" s="544"/>
      <c r="AG18" s="545"/>
      <c r="AH18" s="546"/>
      <c r="AI18" s="543"/>
      <c r="AJ18" s="546"/>
      <c r="AK18" s="543"/>
      <c r="AL18" s="546"/>
      <c r="AM18" s="543"/>
      <c r="AN18" s="546"/>
      <c r="AO18" s="543"/>
      <c r="AP18" s="546"/>
      <c r="AQ18" s="543"/>
      <c r="AR18" s="546"/>
      <c r="AS18" s="543"/>
      <c r="AT18" s="546"/>
      <c r="AU18" s="543"/>
      <c r="AV18" s="546"/>
      <c r="AW18" s="543"/>
      <c r="AX18" s="546"/>
      <c r="AY18" s="543"/>
      <c r="AZ18" s="546"/>
      <c r="BA18" s="543"/>
      <c r="BB18" s="546"/>
      <c r="BC18" s="543"/>
      <c r="BD18" s="546"/>
      <c r="BE18" s="543"/>
      <c r="BF18" s="546"/>
      <c r="BG18" s="543"/>
      <c r="BH18" s="547"/>
      <c r="BI18" s="543"/>
      <c r="BJ18" s="544"/>
      <c r="BK18" s="545"/>
      <c r="BL18" s="546"/>
      <c r="BM18" s="543"/>
      <c r="BN18" s="546"/>
      <c r="BO18" s="543"/>
      <c r="BP18" s="546"/>
      <c r="BQ18" s="543"/>
      <c r="BR18" s="546"/>
      <c r="BS18" s="543"/>
      <c r="BT18" s="546"/>
      <c r="BU18" s="543"/>
      <c r="BV18" s="546"/>
      <c r="BW18" s="543"/>
      <c r="BX18" s="546"/>
      <c r="BY18" s="543"/>
      <c r="BZ18" s="546"/>
      <c r="CA18" s="543"/>
      <c r="CB18" s="546"/>
      <c r="CC18" s="543"/>
      <c r="CD18" s="546"/>
      <c r="CE18" s="543"/>
      <c r="CF18" s="546"/>
      <c r="CG18" s="543"/>
      <c r="CH18" s="546"/>
      <c r="CI18" s="543"/>
      <c r="CJ18" s="546"/>
      <c r="CK18" s="543"/>
      <c r="CL18" s="547"/>
      <c r="CM18" s="543"/>
      <c r="CN18" s="544"/>
      <c r="CO18" s="545"/>
      <c r="CP18" s="546"/>
      <c r="CQ18" s="543"/>
      <c r="CR18" s="546"/>
      <c r="CS18" s="543"/>
      <c r="CT18" s="546"/>
      <c r="CU18" s="543"/>
      <c r="CV18" s="546"/>
      <c r="CW18" s="543"/>
      <c r="CX18" s="546"/>
      <c r="CY18" s="543"/>
      <c r="CZ18" s="546"/>
      <c r="DA18" s="543"/>
      <c r="DB18" s="546"/>
      <c r="DC18" s="543"/>
      <c r="DD18" s="546"/>
      <c r="DE18" s="543"/>
      <c r="DF18" s="546"/>
      <c r="DG18" s="535"/>
      <c r="DH18" s="505"/>
      <c r="DI18" s="506"/>
      <c r="DJ18" s="505"/>
      <c r="DK18" s="506"/>
      <c r="DL18" s="505"/>
      <c r="DM18" s="506"/>
      <c r="DN18" s="505"/>
      <c r="DO18" s="506"/>
      <c r="DP18" s="507"/>
      <c r="DQ18" s="502"/>
      <c r="DR18" s="508"/>
      <c r="DS18" s="504"/>
      <c r="DT18" s="505"/>
      <c r="DU18" s="506"/>
      <c r="DV18" s="505"/>
      <c r="DW18" s="506"/>
      <c r="DX18" s="505"/>
      <c r="DY18" s="506"/>
      <c r="DZ18" s="505"/>
      <c r="EA18" s="506"/>
      <c r="EB18" s="505"/>
      <c r="EC18" s="506"/>
      <c r="ED18" s="505"/>
      <c r="EE18" s="506"/>
      <c r="EF18" s="505"/>
      <c r="EG18" s="506"/>
      <c r="EH18" s="505"/>
      <c r="EI18" s="506"/>
      <c r="EJ18" s="505"/>
      <c r="EK18" s="506"/>
      <c r="EL18" s="505"/>
      <c r="EM18" s="506"/>
      <c r="EN18" s="505"/>
      <c r="EO18" s="506"/>
      <c r="EP18" s="505"/>
      <c r="EQ18" s="506"/>
      <c r="ER18" s="505"/>
      <c r="ES18" s="506"/>
      <c r="ET18" s="507"/>
      <c r="EU18" s="502"/>
      <c r="EV18" s="508"/>
      <c r="EW18" s="504"/>
      <c r="EX18" s="505"/>
      <c r="EY18" s="506"/>
      <c r="EZ18" s="505"/>
      <c r="FA18" s="506"/>
      <c r="FB18" s="505"/>
      <c r="FC18" s="506"/>
      <c r="FD18" s="505"/>
      <c r="FE18" s="506"/>
      <c r="FF18" s="505"/>
      <c r="FG18" s="506"/>
      <c r="FH18" s="505"/>
      <c r="FI18" s="506"/>
      <c r="FJ18" s="505"/>
      <c r="FK18" s="506"/>
      <c r="FL18" s="505"/>
      <c r="FM18" s="506"/>
      <c r="FN18" s="505"/>
      <c r="FO18" s="506"/>
      <c r="FP18" s="505"/>
      <c r="FQ18" s="506"/>
      <c r="FR18" s="505"/>
      <c r="FS18" s="506"/>
      <c r="FT18" s="505"/>
      <c r="FU18" s="506"/>
      <c r="FV18" s="505"/>
      <c r="FW18" s="506"/>
      <c r="FX18" s="507"/>
      <c r="FY18" s="502"/>
      <c r="FZ18" s="508"/>
      <c r="GA18" s="504"/>
      <c r="GB18" s="505"/>
      <c r="GC18" s="506"/>
      <c r="GD18" s="505"/>
      <c r="GE18" s="506"/>
      <c r="GF18" s="505"/>
      <c r="GG18" s="506"/>
      <c r="GH18" s="505"/>
      <c r="GI18" s="506"/>
      <c r="GJ18" s="505"/>
      <c r="GK18" s="506"/>
      <c r="GL18" s="505"/>
      <c r="GM18" s="506"/>
      <c r="GN18" s="505"/>
      <c r="GO18" s="506"/>
      <c r="GP18" s="505"/>
      <c r="GQ18" s="506"/>
      <c r="GR18" s="505"/>
      <c r="GS18" s="506"/>
      <c r="GT18" s="505"/>
      <c r="GU18" s="506"/>
      <c r="GV18" s="505"/>
      <c r="GW18" s="506"/>
      <c r="GX18" s="505"/>
      <c r="GY18" s="506"/>
      <c r="GZ18" s="505"/>
      <c r="HA18" s="506"/>
      <c r="HB18" s="507"/>
      <c r="HC18" s="502"/>
      <c r="HD18" s="508"/>
      <c r="HE18" s="504"/>
      <c r="HF18" s="505"/>
      <c r="HG18" s="506"/>
      <c r="HH18" s="505"/>
      <c r="HI18" s="506"/>
      <c r="HJ18" s="505"/>
      <c r="HK18" s="506"/>
      <c r="HL18" s="505"/>
      <c r="HM18" s="506"/>
      <c r="HN18" s="505"/>
      <c r="HO18" s="506"/>
      <c r="HP18" s="505"/>
      <c r="HQ18" s="506"/>
      <c r="HR18" s="505"/>
      <c r="HS18" s="506"/>
      <c r="HT18" s="505"/>
      <c r="HU18" s="506"/>
      <c r="HV18" s="505"/>
      <c r="HW18" s="506"/>
      <c r="HX18" s="505"/>
    </row>
    <row r="19" spans="1:232" ht="13.5" thickBot="1" x14ac:dyDescent="0.25">
      <c r="A19" s="502" t="s">
        <v>417</v>
      </c>
      <c r="B19" s="508"/>
      <c r="C19" s="504">
        <v>100</v>
      </c>
      <c r="D19" s="505">
        <v>2</v>
      </c>
      <c r="E19" s="506">
        <f t="shared" si="0"/>
        <v>0</v>
      </c>
      <c r="F19" s="505">
        <v>2</v>
      </c>
      <c r="G19" s="506">
        <f t="shared" si="1"/>
        <v>0</v>
      </c>
      <c r="H19" s="505">
        <v>0.67</v>
      </c>
      <c r="I19" s="506">
        <f t="shared" si="2"/>
        <v>0</v>
      </c>
      <c r="J19" s="505">
        <v>2.1</v>
      </c>
      <c r="K19" s="506">
        <f t="shared" si="3"/>
        <v>0</v>
      </c>
      <c r="L19" s="505">
        <v>22</v>
      </c>
      <c r="M19" s="506">
        <f t="shared" si="4"/>
        <v>0</v>
      </c>
      <c r="N19" s="505">
        <v>164</v>
      </c>
      <c r="O19" s="506">
        <f t="shared" si="5"/>
        <v>0</v>
      </c>
      <c r="P19" s="505">
        <v>199</v>
      </c>
      <c r="Q19" s="506">
        <f t="shared" si="6"/>
        <v>0</v>
      </c>
      <c r="R19" s="505">
        <v>0.14000000000000001</v>
      </c>
      <c r="S19" s="506">
        <f t="shared" si="7"/>
        <v>0</v>
      </c>
      <c r="T19" s="505">
        <v>0.19</v>
      </c>
      <c r="U19" s="506">
        <f t="shared" si="8"/>
        <v>0</v>
      </c>
      <c r="V19" s="505">
        <v>1.2</v>
      </c>
      <c r="W19" s="506">
        <f t="shared" si="9"/>
        <v>0</v>
      </c>
      <c r="X19" s="505">
        <v>0.17</v>
      </c>
      <c r="Y19" s="506">
        <f t="shared" si="10"/>
        <v>0</v>
      </c>
      <c r="Z19" s="505">
        <v>0</v>
      </c>
      <c r="AA19" s="506">
        <f t="shared" si="11"/>
        <v>0</v>
      </c>
      <c r="AB19" s="505">
        <v>0</v>
      </c>
      <c r="AC19" s="506">
        <f t="shared" si="12"/>
        <v>0</v>
      </c>
      <c r="AD19" s="507" t="s">
        <v>401</v>
      </c>
      <c r="AE19" s="543"/>
      <c r="AF19" s="544"/>
      <c r="AG19" s="545"/>
      <c r="AH19" s="546"/>
      <c r="AI19" s="543"/>
      <c r="AJ19" s="546"/>
      <c r="AK19" s="543"/>
      <c r="AL19" s="546"/>
      <c r="AM19" s="543"/>
      <c r="AN19" s="546"/>
      <c r="AO19" s="543"/>
      <c r="AP19" s="546"/>
      <c r="AQ19" s="543"/>
      <c r="AR19" s="546"/>
      <c r="AS19" s="543"/>
      <c r="AT19" s="546"/>
      <c r="AU19" s="543"/>
      <c r="AV19" s="546"/>
      <c r="AW19" s="543"/>
      <c r="AX19" s="546"/>
      <c r="AY19" s="543"/>
      <c r="AZ19" s="546"/>
      <c r="BA19" s="543"/>
      <c r="BB19" s="546"/>
      <c r="BC19" s="543"/>
      <c r="BD19" s="546"/>
      <c r="BE19" s="543"/>
      <c r="BF19" s="546"/>
      <c r="BG19" s="543"/>
      <c r="BH19" s="547"/>
      <c r="BI19" s="543"/>
      <c r="BJ19" s="544"/>
      <c r="BK19" s="545"/>
      <c r="BL19" s="546"/>
      <c r="BM19" s="543"/>
      <c r="BN19" s="546"/>
      <c r="BO19" s="543"/>
      <c r="BP19" s="546"/>
      <c r="BQ19" s="543"/>
      <c r="BR19" s="546"/>
      <c r="BS19" s="543"/>
      <c r="BT19" s="546"/>
      <c r="BU19" s="543"/>
      <c r="BV19" s="546"/>
      <c r="BW19" s="543"/>
      <c r="BX19" s="546"/>
      <c r="BY19" s="543"/>
      <c r="BZ19" s="546"/>
      <c r="CA19" s="543"/>
      <c r="CB19" s="546"/>
      <c r="CC19" s="543"/>
      <c r="CD19" s="546"/>
      <c r="CE19" s="543"/>
      <c r="CF19" s="546"/>
      <c r="CG19" s="543"/>
      <c r="CH19" s="546"/>
      <c r="CI19" s="543"/>
      <c r="CJ19" s="546"/>
      <c r="CK19" s="543"/>
      <c r="CL19" s="547"/>
      <c r="CM19" s="543"/>
      <c r="CN19" s="544"/>
      <c r="CO19" s="545"/>
      <c r="CP19" s="546"/>
      <c r="CQ19" s="543"/>
      <c r="CR19" s="546"/>
      <c r="CS19" s="543"/>
      <c r="CT19" s="546"/>
      <c r="CU19" s="543"/>
      <c r="CV19" s="546"/>
      <c r="CW19" s="543"/>
      <c r="CX19" s="546"/>
      <c r="CY19" s="543"/>
      <c r="CZ19" s="546"/>
      <c r="DA19" s="543"/>
      <c r="DB19" s="546"/>
      <c r="DC19" s="543"/>
      <c r="DD19" s="546"/>
      <c r="DE19" s="543"/>
      <c r="DF19" s="546"/>
      <c r="DG19" s="535"/>
      <c r="DH19" s="505"/>
      <c r="DI19" s="506"/>
      <c r="DJ19" s="505"/>
      <c r="DK19" s="506"/>
      <c r="DL19" s="505"/>
      <c r="DM19" s="506"/>
      <c r="DN19" s="505"/>
      <c r="DO19" s="506"/>
      <c r="DP19" s="507"/>
      <c r="DQ19" s="502"/>
      <c r="DR19" s="508"/>
      <c r="DS19" s="504"/>
      <c r="DT19" s="505"/>
      <c r="DU19" s="506"/>
      <c r="DV19" s="505"/>
      <c r="DW19" s="506"/>
      <c r="DX19" s="505"/>
      <c r="DY19" s="506"/>
      <c r="DZ19" s="505"/>
      <c r="EA19" s="506"/>
      <c r="EB19" s="505"/>
      <c r="EC19" s="506"/>
      <c r="ED19" s="505"/>
      <c r="EE19" s="506"/>
      <c r="EF19" s="505"/>
      <c r="EG19" s="506"/>
      <c r="EH19" s="505"/>
      <c r="EI19" s="506"/>
      <c r="EJ19" s="505"/>
      <c r="EK19" s="506"/>
      <c r="EL19" s="505"/>
      <c r="EM19" s="506"/>
      <c r="EN19" s="505"/>
      <c r="EO19" s="506"/>
      <c r="EP19" s="505"/>
      <c r="EQ19" s="506"/>
      <c r="ER19" s="505"/>
      <c r="ES19" s="506"/>
      <c r="ET19" s="507"/>
      <c r="EU19" s="502"/>
      <c r="EV19" s="508"/>
      <c r="EW19" s="504"/>
      <c r="EX19" s="505"/>
      <c r="EY19" s="506"/>
      <c r="EZ19" s="505"/>
      <c r="FA19" s="506"/>
      <c r="FB19" s="505"/>
      <c r="FC19" s="506"/>
      <c r="FD19" s="505"/>
      <c r="FE19" s="506"/>
      <c r="FF19" s="505"/>
      <c r="FG19" s="506"/>
      <c r="FH19" s="505"/>
      <c r="FI19" s="506"/>
      <c r="FJ19" s="505"/>
      <c r="FK19" s="506"/>
      <c r="FL19" s="505"/>
      <c r="FM19" s="506"/>
      <c r="FN19" s="505"/>
      <c r="FO19" s="506"/>
      <c r="FP19" s="505"/>
      <c r="FQ19" s="506"/>
      <c r="FR19" s="505"/>
      <c r="FS19" s="506"/>
      <c r="FT19" s="505"/>
      <c r="FU19" s="506"/>
      <c r="FV19" s="505"/>
      <c r="FW19" s="506"/>
      <c r="FX19" s="507"/>
      <c r="FY19" s="502"/>
      <c r="FZ19" s="508"/>
      <c r="GA19" s="504"/>
      <c r="GB19" s="505"/>
      <c r="GC19" s="506"/>
      <c r="GD19" s="505"/>
      <c r="GE19" s="506"/>
      <c r="GF19" s="505"/>
      <c r="GG19" s="506"/>
      <c r="GH19" s="505"/>
      <c r="GI19" s="506"/>
      <c r="GJ19" s="505"/>
      <c r="GK19" s="506"/>
      <c r="GL19" s="505"/>
      <c r="GM19" s="506"/>
      <c r="GN19" s="505"/>
      <c r="GO19" s="506"/>
      <c r="GP19" s="505"/>
      <c r="GQ19" s="506"/>
      <c r="GR19" s="505"/>
      <c r="GS19" s="506"/>
      <c r="GT19" s="505"/>
      <c r="GU19" s="506"/>
      <c r="GV19" s="505"/>
      <c r="GW19" s="506"/>
      <c r="GX19" s="505"/>
      <c r="GY19" s="506"/>
      <c r="GZ19" s="505"/>
      <c r="HA19" s="506"/>
      <c r="HB19" s="507"/>
      <c r="HC19" s="502"/>
      <c r="HD19" s="508"/>
      <c r="HE19" s="504"/>
      <c r="HF19" s="505"/>
      <c r="HG19" s="506"/>
      <c r="HH19" s="505"/>
      <c r="HI19" s="506"/>
      <c r="HJ19" s="505"/>
      <c r="HK19" s="506"/>
      <c r="HL19" s="505"/>
      <c r="HM19" s="506"/>
      <c r="HN19" s="505"/>
      <c r="HO19" s="506"/>
      <c r="HP19" s="505"/>
      <c r="HQ19" s="506"/>
      <c r="HR19" s="505"/>
      <c r="HS19" s="506"/>
      <c r="HT19" s="505"/>
      <c r="HU19" s="506"/>
      <c r="HV19" s="505"/>
      <c r="HW19" s="506"/>
      <c r="HX19" s="505"/>
    </row>
    <row r="20" spans="1:232" ht="13.5" thickBot="1" x14ac:dyDescent="0.25">
      <c r="A20" s="502" t="s">
        <v>418</v>
      </c>
      <c r="B20" s="508">
        <v>440</v>
      </c>
      <c r="C20" s="504">
        <v>100</v>
      </c>
      <c r="D20" s="505">
        <v>0</v>
      </c>
      <c r="E20" s="506">
        <f t="shared" si="0"/>
        <v>0</v>
      </c>
      <c r="F20" s="505">
        <v>2.7</v>
      </c>
      <c r="G20" s="506">
        <f t="shared" si="1"/>
        <v>11.88</v>
      </c>
      <c r="H20" s="505">
        <v>7.0000000000000007E-2</v>
      </c>
      <c r="I20" s="506">
        <f t="shared" si="2"/>
        <v>0.30800000000000005</v>
      </c>
      <c r="J20" s="505">
        <v>1.3</v>
      </c>
      <c r="K20" s="506">
        <f t="shared" si="3"/>
        <v>5.72</v>
      </c>
      <c r="L20" s="505">
        <v>17</v>
      </c>
      <c r="M20" s="506">
        <f t="shared" si="4"/>
        <v>74.8</v>
      </c>
      <c r="N20" s="505">
        <v>160</v>
      </c>
      <c r="O20" s="506">
        <f t="shared" si="5"/>
        <v>704</v>
      </c>
      <c r="P20" s="505">
        <v>165</v>
      </c>
      <c r="Q20" s="506">
        <f t="shared" si="6"/>
        <v>726</v>
      </c>
      <c r="R20" s="505">
        <v>0.14000000000000001</v>
      </c>
      <c r="S20" s="506">
        <f t="shared" si="7"/>
        <v>0.6160000000000001</v>
      </c>
      <c r="T20" s="505">
        <v>0.11</v>
      </c>
      <c r="U20" s="506">
        <f t="shared" si="8"/>
        <v>0.48399999999999999</v>
      </c>
      <c r="V20" s="505">
        <v>2</v>
      </c>
      <c r="W20" s="506">
        <f t="shared" si="9"/>
        <v>8.8000000000000007</v>
      </c>
      <c r="X20" s="505">
        <v>0.17</v>
      </c>
      <c r="Y20" s="506">
        <f t="shared" si="10"/>
        <v>0.74800000000000011</v>
      </c>
      <c r="Z20" s="505">
        <v>0</v>
      </c>
      <c r="AA20" s="506">
        <f t="shared" si="11"/>
        <v>0</v>
      </c>
      <c r="AB20" s="505">
        <v>0</v>
      </c>
      <c r="AC20" s="506">
        <f t="shared" si="12"/>
        <v>0</v>
      </c>
      <c r="AD20" s="507" t="s">
        <v>401</v>
      </c>
      <c r="AE20" s="543"/>
      <c r="AF20" s="544"/>
      <c r="AG20" s="545"/>
      <c r="AH20" s="546"/>
      <c r="AI20" s="543"/>
      <c r="AJ20" s="546"/>
      <c r="AK20" s="543"/>
      <c r="AL20" s="546"/>
      <c r="AM20" s="543"/>
      <c r="AN20" s="546"/>
      <c r="AO20" s="543"/>
      <c r="AP20" s="546"/>
      <c r="AQ20" s="543"/>
      <c r="AR20" s="546"/>
      <c r="AS20" s="543"/>
      <c r="AT20" s="546"/>
      <c r="AU20" s="543"/>
      <c r="AV20" s="546"/>
      <c r="AW20" s="543"/>
      <c r="AX20" s="546"/>
      <c r="AY20" s="543"/>
      <c r="AZ20" s="546"/>
      <c r="BA20" s="543"/>
      <c r="BB20" s="546"/>
      <c r="BC20" s="543"/>
      <c r="BD20" s="546"/>
      <c r="BE20" s="543"/>
      <c r="BF20" s="546"/>
      <c r="BG20" s="543"/>
      <c r="BH20" s="547"/>
      <c r="BI20" s="543"/>
      <c r="BJ20" s="544"/>
      <c r="BK20" s="545"/>
      <c r="BL20" s="546"/>
      <c r="BM20" s="543"/>
      <c r="BN20" s="546"/>
      <c r="BO20" s="543"/>
      <c r="BP20" s="546"/>
      <c r="BQ20" s="543"/>
      <c r="BR20" s="546"/>
      <c r="BS20" s="543"/>
      <c r="BT20" s="546"/>
      <c r="BU20" s="543"/>
      <c r="BV20" s="546"/>
      <c r="BW20" s="543"/>
      <c r="BX20" s="546"/>
      <c r="BY20" s="543"/>
      <c r="BZ20" s="546"/>
      <c r="CA20" s="543"/>
      <c r="CB20" s="546"/>
      <c r="CC20" s="543"/>
      <c r="CD20" s="546"/>
      <c r="CE20" s="543"/>
      <c r="CF20" s="546"/>
      <c r="CG20" s="543"/>
      <c r="CH20" s="546"/>
      <c r="CI20" s="543"/>
      <c r="CJ20" s="546"/>
      <c r="CK20" s="543"/>
      <c r="CL20" s="547"/>
      <c r="CM20" s="543"/>
      <c r="CN20" s="544"/>
      <c r="CO20" s="545"/>
      <c r="CP20" s="546"/>
      <c r="CQ20" s="543"/>
      <c r="CR20" s="546"/>
      <c r="CS20" s="543"/>
      <c r="CT20" s="546"/>
      <c r="CU20" s="543"/>
      <c r="CV20" s="546"/>
      <c r="CW20" s="543"/>
      <c r="CX20" s="546"/>
      <c r="CY20" s="543"/>
      <c r="CZ20" s="546"/>
      <c r="DA20" s="543"/>
      <c r="DB20" s="546"/>
      <c r="DC20" s="543"/>
      <c r="DD20" s="546"/>
      <c r="DE20" s="543"/>
      <c r="DF20" s="546"/>
      <c r="DG20" s="535"/>
      <c r="DH20" s="505"/>
      <c r="DI20" s="506"/>
      <c r="DJ20" s="505"/>
      <c r="DK20" s="506"/>
      <c r="DL20" s="505"/>
      <c r="DM20" s="506"/>
      <c r="DN20" s="505"/>
      <c r="DO20" s="506"/>
      <c r="DP20" s="507"/>
      <c r="DQ20" s="502"/>
      <c r="DR20" s="508"/>
      <c r="DS20" s="504"/>
      <c r="DT20" s="505"/>
      <c r="DU20" s="506"/>
      <c r="DV20" s="505"/>
      <c r="DW20" s="506"/>
      <c r="DX20" s="505"/>
      <c r="DY20" s="506"/>
      <c r="DZ20" s="505"/>
      <c r="EA20" s="506"/>
      <c r="EB20" s="505"/>
      <c r="EC20" s="506"/>
      <c r="ED20" s="505"/>
      <c r="EE20" s="506"/>
      <c r="EF20" s="505"/>
      <c r="EG20" s="506"/>
      <c r="EH20" s="505"/>
      <c r="EI20" s="506"/>
      <c r="EJ20" s="505"/>
      <c r="EK20" s="506"/>
      <c r="EL20" s="505"/>
      <c r="EM20" s="506"/>
      <c r="EN20" s="505"/>
      <c r="EO20" s="506"/>
      <c r="EP20" s="505"/>
      <c r="EQ20" s="506"/>
      <c r="ER20" s="505"/>
      <c r="ES20" s="506"/>
      <c r="ET20" s="507"/>
      <c r="EU20" s="502"/>
      <c r="EV20" s="508"/>
      <c r="EW20" s="504"/>
      <c r="EX20" s="505"/>
      <c r="EY20" s="506"/>
      <c r="EZ20" s="505"/>
      <c r="FA20" s="506"/>
      <c r="FB20" s="505"/>
      <c r="FC20" s="506"/>
      <c r="FD20" s="505"/>
      <c r="FE20" s="506"/>
      <c r="FF20" s="505"/>
      <c r="FG20" s="506"/>
      <c r="FH20" s="505"/>
      <c r="FI20" s="506"/>
      <c r="FJ20" s="505"/>
      <c r="FK20" s="506"/>
      <c r="FL20" s="505"/>
      <c r="FM20" s="506"/>
      <c r="FN20" s="505"/>
      <c r="FO20" s="506"/>
      <c r="FP20" s="505"/>
      <c r="FQ20" s="506"/>
      <c r="FR20" s="505"/>
      <c r="FS20" s="506"/>
      <c r="FT20" s="505"/>
      <c r="FU20" s="506"/>
      <c r="FV20" s="505"/>
      <c r="FW20" s="506"/>
      <c r="FX20" s="507"/>
      <c r="FY20" s="502"/>
      <c r="FZ20" s="508"/>
      <c r="GA20" s="504"/>
      <c r="GB20" s="505"/>
      <c r="GC20" s="506"/>
      <c r="GD20" s="505"/>
      <c r="GE20" s="506"/>
      <c r="GF20" s="505"/>
      <c r="GG20" s="506"/>
      <c r="GH20" s="505"/>
      <c r="GI20" s="506"/>
      <c r="GJ20" s="505"/>
      <c r="GK20" s="506"/>
      <c r="GL20" s="505"/>
      <c r="GM20" s="506"/>
      <c r="GN20" s="505"/>
      <c r="GO20" s="506"/>
      <c r="GP20" s="505"/>
      <c r="GQ20" s="506"/>
      <c r="GR20" s="505"/>
      <c r="GS20" s="506"/>
      <c r="GT20" s="505"/>
      <c r="GU20" s="506"/>
      <c r="GV20" s="505"/>
      <c r="GW20" s="506"/>
      <c r="GX20" s="505"/>
      <c r="GY20" s="506"/>
      <c r="GZ20" s="505"/>
      <c r="HA20" s="506"/>
      <c r="HB20" s="507"/>
      <c r="HC20" s="502"/>
      <c r="HD20" s="508"/>
      <c r="HE20" s="504"/>
      <c r="HF20" s="505"/>
      <c r="HG20" s="506"/>
      <c r="HH20" s="505"/>
      <c r="HI20" s="506"/>
      <c r="HJ20" s="505"/>
      <c r="HK20" s="506"/>
      <c r="HL20" s="505"/>
      <c r="HM20" s="506"/>
      <c r="HN20" s="505"/>
      <c r="HO20" s="506"/>
      <c r="HP20" s="505"/>
      <c r="HQ20" s="506"/>
      <c r="HR20" s="505"/>
      <c r="HS20" s="506"/>
      <c r="HT20" s="505"/>
      <c r="HU20" s="506"/>
      <c r="HV20" s="505"/>
      <c r="HW20" s="506"/>
      <c r="HX20" s="505"/>
    </row>
    <row r="21" spans="1:232" ht="13.5" thickBot="1" x14ac:dyDescent="0.25">
      <c r="A21" s="502" t="s">
        <v>419</v>
      </c>
      <c r="B21" s="508"/>
      <c r="C21" s="504">
        <v>100</v>
      </c>
      <c r="D21" s="505">
        <v>0</v>
      </c>
      <c r="E21" s="506">
        <f t="shared" si="0"/>
        <v>0</v>
      </c>
      <c r="F21" s="505">
        <v>3.7</v>
      </c>
      <c r="G21" s="506">
        <f t="shared" si="1"/>
        <v>0</v>
      </c>
      <c r="H21" s="505">
        <v>0.57999999999999996</v>
      </c>
      <c r="I21" s="506">
        <f t="shared" si="2"/>
        <v>0</v>
      </c>
      <c r="J21" s="505">
        <v>3.9</v>
      </c>
      <c r="K21" s="506">
        <f t="shared" si="3"/>
        <v>0</v>
      </c>
      <c r="L21" s="505">
        <v>31</v>
      </c>
      <c r="M21" s="506">
        <f t="shared" si="4"/>
        <v>0</v>
      </c>
      <c r="N21" s="505">
        <v>390</v>
      </c>
      <c r="O21" s="506">
        <f t="shared" si="5"/>
        <v>0</v>
      </c>
      <c r="P21" s="505">
        <v>330</v>
      </c>
      <c r="Q21" s="506">
        <f t="shared" si="6"/>
        <v>0</v>
      </c>
      <c r="R21" s="505">
        <v>0.99</v>
      </c>
      <c r="S21" s="506">
        <f t="shared" si="7"/>
        <v>0</v>
      </c>
      <c r="T21" s="505">
        <v>0.11</v>
      </c>
      <c r="U21" s="506">
        <f t="shared" si="8"/>
        <v>0</v>
      </c>
      <c r="V21" s="505">
        <v>6.2</v>
      </c>
      <c r="W21" s="506">
        <f t="shared" si="9"/>
        <v>0</v>
      </c>
      <c r="X21" s="505">
        <v>0.39</v>
      </c>
      <c r="Y21" s="506">
        <f t="shared" si="10"/>
        <v>0</v>
      </c>
      <c r="Z21" s="505">
        <v>0</v>
      </c>
      <c r="AA21" s="506">
        <f t="shared" si="11"/>
        <v>0</v>
      </c>
      <c r="AB21" s="505">
        <v>0</v>
      </c>
      <c r="AC21" s="506">
        <f t="shared" si="12"/>
        <v>0</v>
      </c>
      <c r="AD21" s="507" t="s">
        <v>401</v>
      </c>
      <c r="AE21" s="543"/>
      <c r="AF21" s="544"/>
      <c r="AG21" s="545"/>
      <c r="AH21" s="546"/>
      <c r="AI21" s="543"/>
      <c r="AJ21" s="546"/>
      <c r="AK21" s="543"/>
      <c r="AL21" s="546"/>
      <c r="AM21" s="543"/>
      <c r="AN21" s="546"/>
      <c r="AO21" s="543"/>
      <c r="AP21" s="546"/>
      <c r="AQ21" s="543"/>
      <c r="AR21" s="546"/>
      <c r="AS21" s="543"/>
      <c r="AT21" s="546"/>
      <c r="AU21" s="543"/>
      <c r="AV21" s="546"/>
      <c r="AW21" s="543"/>
      <c r="AX21" s="546"/>
      <c r="AY21" s="543"/>
      <c r="AZ21" s="546"/>
      <c r="BA21" s="543"/>
      <c r="BB21" s="546"/>
      <c r="BC21" s="543"/>
      <c r="BD21" s="546"/>
      <c r="BE21" s="543"/>
      <c r="BF21" s="546"/>
      <c r="BG21" s="543"/>
      <c r="BH21" s="547"/>
      <c r="BI21" s="543"/>
      <c r="BJ21" s="544"/>
      <c r="BK21" s="545"/>
      <c r="BL21" s="546"/>
      <c r="BM21" s="543"/>
      <c r="BN21" s="546"/>
      <c r="BO21" s="543"/>
      <c r="BP21" s="546"/>
      <c r="BQ21" s="543"/>
      <c r="BR21" s="546"/>
      <c r="BS21" s="543"/>
      <c r="BT21" s="546"/>
      <c r="BU21" s="543"/>
      <c r="BV21" s="546"/>
      <c r="BW21" s="543"/>
      <c r="BX21" s="546"/>
      <c r="BY21" s="543"/>
      <c r="BZ21" s="546"/>
      <c r="CA21" s="543"/>
      <c r="CB21" s="546"/>
      <c r="CC21" s="543"/>
      <c r="CD21" s="546"/>
      <c r="CE21" s="543"/>
      <c r="CF21" s="546"/>
      <c r="CG21" s="543"/>
      <c r="CH21" s="546"/>
      <c r="CI21" s="543"/>
      <c r="CJ21" s="546"/>
      <c r="CK21" s="543"/>
      <c r="CL21" s="547"/>
      <c r="CM21" s="543"/>
      <c r="CN21" s="544"/>
      <c r="CO21" s="545"/>
      <c r="CP21" s="546"/>
      <c r="CQ21" s="543"/>
      <c r="CR21" s="546"/>
      <c r="CS21" s="543"/>
      <c r="CT21" s="546"/>
      <c r="CU21" s="543"/>
      <c r="CV21" s="546"/>
      <c r="CW21" s="543"/>
      <c r="CX21" s="546"/>
      <c r="CY21" s="543"/>
      <c r="CZ21" s="546"/>
      <c r="DA21" s="543"/>
      <c r="DB21" s="546"/>
      <c r="DC21" s="543"/>
      <c r="DD21" s="546"/>
      <c r="DE21" s="543"/>
      <c r="DF21" s="546"/>
      <c r="DG21" s="535"/>
      <c r="DH21" s="505"/>
      <c r="DI21" s="506"/>
      <c r="DJ21" s="505"/>
      <c r="DK21" s="506"/>
      <c r="DL21" s="505"/>
      <c r="DM21" s="506"/>
      <c r="DN21" s="505"/>
      <c r="DO21" s="506"/>
      <c r="DP21" s="507"/>
      <c r="DQ21" s="502"/>
      <c r="DR21" s="508"/>
      <c r="DS21" s="504"/>
      <c r="DT21" s="505"/>
      <c r="DU21" s="506"/>
      <c r="DV21" s="505"/>
      <c r="DW21" s="506"/>
      <c r="DX21" s="505"/>
      <c r="DY21" s="506"/>
      <c r="DZ21" s="505"/>
      <c r="EA21" s="506"/>
      <c r="EB21" s="505"/>
      <c r="EC21" s="506"/>
      <c r="ED21" s="505"/>
      <c r="EE21" s="506"/>
      <c r="EF21" s="505"/>
      <c r="EG21" s="506"/>
      <c r="EH21" s="505"/>
      <c r="EI21" s="506"/>
      <c r="EJ21" s="505"/>
      <c r="EK21" s="506"/>
      <c r="EL21" s="505"/>
      <c r="EM21" s="506"/>
      <c r="EN21" s="505"/>
      <c r="EO21" s="506"/>
      <c r="EP21" s="505"/>
      <c r="EQ21" s="506"/>
      <c r="ER21" s="505"/>
      <c r="ES21" s="506"/>
      <c r="ET21" s="507"/>
      <c r="EU21" s="502"/>
      <c r="EV21" s="508"/>
      <c r="EW21" s="504"/>
      <c r="EX21" s="505"/>
      <c r="EY21" s="506"/>
      <c r="EZ21" s="505"/>
      <c r="FA21" s="506"/>
      <c r="FB21" s="505"/>
      <c r="FC21" s="506"/>
      <c r="FD21" s="505"/>
      <c r="FE21" s="506"/>
      <c r="FF21" s="505"/>
      <c r="FG21" s="506"/>
      <c r="FH21" s="505"/>
      <c r="FI21" s="506"/>
      <c r="FJ21" s="505"/>
      <c r="FK21" s="506"/>
      <c r="FL21" s="505"/>
      <c r="FM21" s="506"/>
      <c r="FN21" s="505"/>
      <c r="FO21" s="506"/>
      <c r="FP21" s="505"/>
      <c r="FQ21" s="506"/>
      <c r="FR21" s="505"/>
      <c r="FS21" s="506"/>
      <c r="FT21" s="505"/>
      <c r="FU21" s="506"/>
      <c r="FV21" s="505"/>
      <c r="FW21" s="506"/>
      <c r="FX21" s="507"/>
      <c r="FY21" s="502"/>
      <c r="FZ21" s="508"/>
      <c r="GA21" s="504"/>
      <c r="GB21" s="505"/>
      <c r="GC21" s="506"/>
      <c r="GD21" s="505"/>
      <c r="GE21" s="506"/>
      <c r="GF21" s="505"/>
      <c r="GG21" s="506"/>
      <c r="GH21" s="505"/>
      <c r="GI21" s="506"/>
      <c r="GJ21" s="505"/>
      <c r="GK21" s="506"/>
      <c r="GL21" s="505"/>
      <c r="GM21" s="506"/>
      <c r="GN21" s="505"/>
      <c r="GO21" s="506"/>
      <c r="GP21" s="505"/>
      <c r="GQ21" s="506"/>
      <c r="GR21" s="505"/>
      <c r="GS21" s="506"/>
      <c r="GT21" s="505"/>
      <c r="GU21" s="506"/>
      <c r="GV21" s="505"/>
      <c r="GW21" s="506"/>
      <c r="GX21" s="505"/>
      <c r="GY21" s="506"/>
      <c r="GZ21" s="505"/>
      <c r="HA21" s="506"/>
      <c r="HB21" s="507"/>
      <c r="HC21" s="502"/>
      <c r="HD21" s="508"/>
      <c r="HE21" s="504"/>
      <c r="HF21" s="505"/>
      <c r="HG21" s="506"/>
      <c r="HH21" s="505"/>
      <c r="HI21" s="506"/>
      <c r="HJ21" s="505"/>
      <c r="HK21" s="506"/>
      <c r="HL21" s="505"/>
      <c r="HM21" s="506"/>
      <c r="HN21" s="505"/>
      <c r="HO21" s="506"/>
      <c r="HP21" s="505"/>
      <c r="HQ21" s="506"/>
      <c r="HR21" s="505"/>
      <c r="HS21" s="506"/>
      <c r="HT21" s="505"/>
      <c r="HU21" s="506"/>
      <c r="HV21" s="505"/>
      <c r="HW21" s="506"/>
      <c r="HX21" s="505"/>
    </row>
    <row r="22" spans="1:232" ht="13.5" thickBot="1" x14ac:dyDescent="0.25">
      <c r="A22" s="502" t="s">
        <v>420</v>
      </c>
      <c r="B22" s="508">
        <v>1200</v>
      </c>
      <c r="C22" s="504">
        <v>83</v>
      </c>
      <c r="D22" s="505">
        <v>0</v>
      </c>
      <c r="E22" s="506">
        <f t="shared" si="0"/>
        <v>0</v>
      </c>
      <c r="F22" s="505">
        <v>0.4</v>
      </c>
      <c r="G22" s="506">
        <f t="shared" si="1"/>
        <v>4.8</v>
      </c>
      <c r="H22" s="505">
        <v>0.19</v>
      </c>
      <c r="I22" s="506">
        <f t="shared" si="2"/>
        <v>2.2799999999999998</v>
      </c>
      <c r="J22" s="505">
        <v>0.6</v>
      </c>
      <c r="K22" s="506">
        <f t="shared" si="3"/>
        <v>7.2</v>
      </c>
      <c r="L22" s="505">
        <v>10</v>
      </c>
      <c r="M22" s="506">
        <f t="shared" si="4"/>
        <v>120</v>
      </c>
      <c r="N22" s="505">
        <v>570</v>
      </c>
      <c r="O22" s="506">
        <f t="shared" si="5"/>
        <v>6840</v>
      </c>
      <c r="P22" s="505">
        <v>54</v>
      </c>
      <c r="Q22" s="506">
        <f t="shared" si="6"/>
        <v>648</v>
      </c>
      <c r="R22" s="505">
        <v>0.1</v>
      </c>
      <c r="S22" s="506">
        <f t="shared" si="7"/>
        <v>1.2</v>
      </c>
      <c r="T22" s="505">
        <v>0.04</v>
      </c>
      <c r="U22" s="506">
        <f t="shared" si="8"/>
        <v>0.48</v>
      </c>
      <c r="V22" s="505">
        <v>2.5</v>
      </c>
      <c r="W22" s="506">
        <f t="shared" si="9"/>
        <v>30</v>
      </c>
      <c r="X22" s="505">
        <v>0.44</v>
      </c>
      <c r="Y22" s="506">
        <f t="shared" si="10"/>
        <v>5.28</v>
      </c>
      <c r="Z22" s="505">
        <v>15</v>
      </c>
      <c r="AA22" s="506">
        <f t="shared" si="11"/>
        <v>180</v>
      </c>
      <c r="AB22" s="505">
        <v>0</v>
      </c>
      <c r="AC22" s="506">
        <f t="shared" si="12"/>
        <v>0</v>
      </c>
      <c r="AD22" s="507" t="s">
        <v>401</v>
      </c>
      <c r="AE22" s="543"/>
      <c r="AF22" s="544"/>
      <c r="AG22" s="545"/>
      <c r="AH22" s="546"/>
      <c r="AI22" s="543"/>
      <c r="AJ22" s="546"/>
      <c r="AK22" s="543"/>
      <c r="AL22" s="546"/>
      <c r="AM22" s="543"/>
      <c r="AN22" s="546"/>
      <c r="AO22" s="543"/>
      <c r="AP22" s="546"/>
      <c r="AQ22" s="543"/>
      <c r="AR22" s="546"/>
      <c r="AS22" s="543"/>
      <c r="AT22" s="546"/>
      <c r="AU22" s="543"/>
      <c r="AV22" s="546"/>
      <c r="AW22" s="543"/>
      <c r="AX22" s="546"/>
      <c r="AY22" s="543"/>
      <c r="AZ22" s="546"/>
      <c r="BA22" s="543"/>
      <c r="BB22" s="546"/>
      <c r="BC22" s="543"/>
      <c r="BD22" s="546"/>
      <c r="BE22" s="543"/>
      <c r="BF22" s="546"/>
      <c r="BG22" s="543"/>
      <c r="BH22" s="547"/>
      <c r="BI22" s="543"/>
      <c r="BJ22" s="544"/>
      <c r="BK22" s="545"/>
      <c r="BL22" s="546"/>
      <c r="BM22" s="543"/>
      <c r="BN22" s="546"/>
      <c r="BO22" s="543"/>
      <c r="BP22" s="546"/>
      <c r="BQ22" s="543"/>
      <c r="BR22" s="546"/>
      <c r="BS22" s="543"/>
      <c r="BT22" s="546"/>
      <c r="BU22" s="543"/>
      <c r="BV22" s="546"/>
      <c r="BW22" s="543"/>
      <c r="BX22" s="546"/>
      <c r="BY22" s="543"/>
      <c r="BZ22" s="546"/>
      <c r="CA22" s="543"/>
      <c r="CB22" s="546"/>
      <c r="CC22" s="543"/>
      <c r="CD22" s="546"/>
      <c r="CE22" s="543"/>
      <c r="CF22" s="546"/>
      <c r="CG22" s="543"/>
      <c r="CH22" s="546"/>
      <c r="CI22" s="543"/>
      <c r="CJ22" s="546"/>
      <c r="CK22" s="543"/>
      <c r="CL22" s="547"/>
      <c r="CM22" s="543"/>
      <c r="CN22" s="544"/>
      <c r="CO22" s="545"/>
      <c r="CP22" s="546"/>
      <c r="CQ22" s="543"/>
      <c r="CR22" s="546"/>
      <c r="CS22" s="543"/>
      <c r="CT22" s="546"/>
      <c r="CU22" s="543"/>
      <c r="CV22" s="546"/>
      <c r="CW22" s="543"/>
      <c r="CX22" s="546"/>
      <c r="CY22" s="543"/>
      <c r="CZ22" s="546"/>
      <c r="DA22" s="543"/>
      <c r="DB22" s="546"/>
      <c r="DC22" s="543"/>
      <c r="DD22" s="546"/>
      <c r="DE22" s="543"/>
      <c r="DF22" s="546"/>
      <c r="DG22" s="535"/>
      <c r="DH22" s="505"/>
      <c r="DI22" s="506"/>
      <c r="DJ22" s="505"/>
      <c r="DK22" s="506"/>
      <c r="DL22" s="505"/>
      <c r="DM22" s="506"/>
      <c r="DN22" s="505"/>
      <c r="DO22" s="506"/>
      <c r="DP22" s="507"/>
      <c r="DQ22" s="502"/>
      <c r="DR22" s="508"/>
      <c r="DS22" s="504"/>
      <c r="DT22" s="505"/>
      <c r="DU22" s="506"/>
      <c r="DV22" s="505"/>
      <c r="DW22" s="506"/>
      <c r="DX22" s="505"/>
      <c r="DY22" s="506"/>
      <c r="DZ22" s="505"/>
      <c r="EA22" s="506"/>
      <c r="EB22" s="505"/>
      <c r="EC22" s="506"/>
      <c r="ED22" s="505"/>
      <c r="EE22" s="506"/>
      <c r="EF22" s="505"/>
      <c r="EG22" s="506"/>
      <c r="EH22" s="505"/>
      <c r="EI22" s="506"/>
      <c r="EJ22" s="505"/>
      <c r="EK22" s="506"/>
      <c r="EL22" s="505"/>
      <c r="EM22" s="506"/>
      <c r="EN22" s="505"/>
      <c r="EO22" s="506"/>
      <c r="EP22" s="505"/>
      <c r="EQ22" s="506"/>
      <c r="ER22" s="505"/>
      <c r="ES22" s="506"/>
      <c r="ET22" s="507"/>
      <c r="EU22" s="502"/>
      <c r="EV22" s="508"/>
      <c r="EW22" s="504"/>
      <c r="EX22" s="505"/>
      <c r="EY22" s="506"/>
      <c r="EZ22" s="505"/>
      <c r="FA22" s="506"/>
      <c r="FB22" s="505"/>
      <c r="FC22" s="506"/>
      <c r="FD22" s="505"/>
      <c r="FE22" s="506"/>
      <c r="FF22" s="505"/>
      <c r="FG22" s="506"/>
      <c r="FH22" s="505"/>
      <c r="FI22" s="506"/>
      <c r="FJ22" s="505"/>
      <c r="FK22" s="506"/>
      <c r="FL22" s="505"/>
      <c r="FM22" s="506"/>
      <c r="FN22" s="505"/>
      <c r="FO22" s="506"/>
      <c r="FP22" s="505"/>
      <c r="FQ22" s="506"/>
      <c r="FR22" s="505"/>
      <c r="FS22" s="506"/>
      <c r="FT22" s="505"/>
      <c r="FU22" s="506"/>
      <c r="FV22" s="505"/>
      <c r="FW22" s="506"/>
      <c r="FX22" s="507"/>
      <c r="FY22" s="502"/>
      <c r="FZ22" s="508"/>
      <c r="GA22" s="504"/>
      <c r="GB22" s="505"/>
      <c r="GC22" s="506"/>
      <c r="GD22" s="505"/>
      <c r="GE22" s="506"/>
      <c r="GF22" s="505"/>
      <c r="GG22" s="506"/>
      <c r="GH22" s="505"/>
      <c r="GI22" s="506"/>
      <c r="GJ22" s="505"/>
      <c r="GK22" s="506"/>
      <c r="GL22" s="505"/>
      <c r="GM22" s="506"/>
      <c r="GN22" s="505"/>
      <c r="GO22" s="506"/>
      <c r="GP22" s="505"/>
      <c r="GQ22" s="506"/>
      <c r="GR22" s="505"/>
      <c r="GS22" s="506"/>
      <c r="GT22" s="505"/>
      <c r="GU22" s="506"/>
      <c r="GV22" s="505"/>
      <c r="GW22" s="506"/>
      <c r="GX22" s="505"/>
      <c r="GY22" s="506"/>
      <c r="GZ22" s="505"/>
      <c r="HA22" s="506"/>
      <c r="HB22" s="507"/>
      <c r="HC22" s="502"/>
      <c r="HD22" s="508"/>
      <c r="HE22" s="504"/>
      <c r="HF22" s="505"/>
      <c r="HG22" s="506"/>
      <c r="HH22" s="505"/>
      <c r="HI22" s="506"/>
      <c r="HJ22" s="505"/>
      <c r="HK22" s="506"/>
      <c r="HL22" s="505"/>
      <c r="HM22" s="506"/>
      <c r="HN22" s="505"/>
      <c r="HO22" s="506"/>
      <c r="HP22" s="505"/>
      <c r="HQ22" s="506"/>
      <c r="HR22" s="505"/>
      <c r="HS22" s="506"/>
      <c r="HT22" s="505"/>
      <c r="HU22" s="506"/>
      <c r="HV22" s="505"/>
      <c r="HW22" s="506"/>
      <c r="HX22" s="505"/>
    </row>
    <row r="23" spans="1:232" ht="13.5" thickBot="1" x14ac:dyDescent="0.25">
      <c r="A23" s="502" t="s">
        <v>421</v>
      </c>
      <c r="B23" s="508">
        <v>250</v>
      </c>
      <c r="C23" s="504">
        <v>100</v>
      </c>
      <c r="D23" s="505">
        <v>0</v>
      </c>
      <c r="E23" s="506">
        <f t="shared" si="0"/>
        <v>0</v>
      </c>
      <c r="F23" s="505">
        <v>0.7</v>
      </c>
      <c r="G23" s="506">
        <f t="shared" si="1"/>
        <v>1.75</v>
      </c>
      <c r="H23" s="505">
        <v>10.96</v>
      </c>
      <c r="I23" s="506">
        <f t="shared" si="2"/>
        <v>27.4</v>
      </c>
      <c r="J23" s="505">
        <v>1.6</v>
      </c>
      <c r="K23" s="506">
        <f t="shared" si="3"/>
        <v>4</v>
      </c>
      <c r="L23" s="505">
        <v>24</v>
      </c>
      <c r="M23" s="506">
        <f t="shared" si="4"/>
        <v>60</v>
      </c>
      <c r="N23" s="505">
        <v>1275</v>
      </c>
      <c r="O23" s="506">
        <f t="shared" si="5"/>
        <v>3187.5</v>
      </c>
      <c r="P23" s="505">
        <v>165</v>
      </c>
      <c r="Q23" s="506">
        <f t="shared" si="6"/>
        <v>412.5</v>
      </c>
      <c r="R23" s="505">
        <v>0.17</v>
      </c>
      <c r="S23" s="506">
        <f t="shared" si="7"/>
        <v>0.42499999999999999</v>
      </c>
      <c r="T23" s="505">
        <v>0.2</v>
      </c>
      <c r="U23" s="506">
        <f t="shared" si="8"/>
        <v>0.5</v>
      </c>
      <c r="V23" s="505">
        <v>3.8</v>
      </c>
      <c r="W23" s="506">
        <f t="shared" si="9"/>
        <v>9.5</v>
      </c>
      <c r="X23" s="505">
        <v>0.66</v>
      </c>
      <c r="Y23" s="506">
        <f t="shared" si="10"/>
        <v>1.65</v>
      </c>
      <c r="Z23" s="505">
        <v>31</v>
      </c>
      <c r="AA23" s="506">
        <f t="shared" si="11"/>
        <v>77.5</v>
      </c>
      <c r="AB23" s="505">
        <v>0</v>
      </c>
      <c r="AC23" s="506">
        <f t="shared" si="12"/>
        <v>0</v>
      </c>
      <c r="AD23" s="507" t="s">
        <v>401</v>
      </c>
      <c r="AE23" s="543"/>
      <c r="AF23" s="544"/>
      <c r="AG23" s="545"/>
      <c r="AH23" s="546"/>
      <c r="AI23" s="543"/>
      <c r="AJ23" s="546"/>
      <c r="AK23" s="543"/>
      <c r="AL23" s="546"/>
      <c r="AM23" s="543"/>
      <c r="AN23" s="546"/>
      <c r="AO23" s="543"/>
      <c r="AP23" s="546"/>
      <c r="AQ23" s="543"/>
      <c r="AR23" s="546"/>
      <c r="AS23" s="543"/>
      <c r="AT23" s="546"/>
      <c r="AU23" s="543"/>
      <c r="AV23" s="546"/>
      <c r="AW23" s="543"/>
      <c r="AX23" s="546"/>
      <c r="AY23" s="543"/>
      <c r="AZ23" s="546"/>
      <c r="BA23" s="543"/>
      <c r="BB23" s="546"/>
      <c r="BC23" s="543"/>
      <c r="BD23" s="546"/>
      <c r="BE23" s="543"/>
      <c r="BF23" s="546"/>
      <c r="BG23" s="543"/>
      <c r="BH23" s="547"/>
      <c r="BI23" s="543"/>
      <c r="BJ23" s="544"/>
      <c r="BK23" s="545"/>
      <c r="BL23" s="546"/>
      <c r="BM23" s="543"/>
      <c r="BN23" s="546"/>
      <c r="BO23" s="543"/>
      <c r="BP23" s="546"/>
      <c r="BQ23" s="543"/>
      <c r="BR23" s="546"/>
      <c r="BS23" s="543"/>
      <c r="BT23" s="546"/>
      <c r="BU23" s="543"/>
      <c r="BV23" s="546"/>
      <c r="BW23" s="543"/>
      <c r="BX23" s="546"/>
      <c r="BY23" s="543"/>
      <c r="BZ23" s="546"/>
      <c r="CA23" s="543"/>
      <c r="CB23" s="546"/>
      <c r="CC23" s="543"/>
      <c r="CD23" s="546"/>
      <c r="CE23" s="543"/>
      <c r="CF23" s="546"/>
      <c r="CG23" s="543"/>
      <c r="CH23" s="546"/>
      <c r="CI23" s="543"/>
      <c r="CJ23" s="546"/>
      <c r="CK23" s="543"/>
      <c r="CL23" s="547"/>
      <c r="CM23" s="543"/>
      <c r="CN23" s="544"/>
      <c r="CO23" s="545"/>
      <c r="CP23" s="546"/>
      <c r="CQ23" s="543"/>
      <c r="CR23" s="546"/>
      <c r="CS23" s="543"/>
      <c r="CT23" s="546"/>
      <c r="CU23" s="543"/>
      <c r="CV23" s="546"/>
      <c r="CW23" s="543"/>
      <c r="CX23" s="546"/>
      <c r="CY23" s="543"/>
      <c r="CZ23" s="546"/>
      <c r="DA23" s="543"/>
      <c r="DB23" s="546"/>
      <c r="DC23" s="543"/>
      <c r="DD23" s="546"/>
      <c r="DE23" s="543"/>
      <c r="DF23" s="546"/>
      <c r="DG23" s="535"/>
      <c r="DH23" s="505"/>
      <c r="DI23" s="506"/>
      <c r="DJ23" s="505"/>
      <c r="DK23" s="506"/>
      <c r="DL23" s="505"/>
      <c r="DM23" s="506"/>
      <c r="DN23" s="505"/>
      <c r="DO23" s="506"/>
      <c r="DP23" s="507"/>
      <c r="DQ23" s="502"/>
      <c r="DR23" s="508"/>
      <c r="DS23" s="504"/>
      <c r="DT23" s="505"/>
      <c r="DU23" s="506"/>
      <c r="DV23" s="505"/>
      <c r="DW23" s="506"/>
      <c r="DX23" s="505"/>
      <c r="DY23" s="506"/>
      <c r="DZ23" s="505"/>
      <c r="EA23" s="506"/>
      <c r="EB23" s="505"/>
      <c r="EC23" s="506"/>
      <c r="ED23" s="505"/>
      <c r="EE23" s="506"/>
      <c r="EF23" s="505"/>
      <c r="EG23" s="506"/>
      <c r="EH23" s="505"/>
      <c r="EI23" s="506"/>
      <c r="EJ23" s="505"/>
      <c r="EK23" s="506"/>
      <c r="EL23" s="505"/>
      <c r="EM23" s="506"/>
      <c r="EN23" s="505"/>
      <c r="EO23" s="506"/>
      <c r="EP23" s="505"/>
      <c r="EQ23" s="506"/>
      <c r="ER23" s="505"/>
      <c r="ES23" s="506"/>
      <c r="ET23" s="507"/>
      <c r="EU23" s="502"/>
      <c r="EV23" s="508"/>
      <c r="EW23" s="504"/>
      <c r="EX23" s="505"/>
      <c r="EY23" s="506"/>
      <c r="EZ23" s="505"/>
      <c r="FA23" s="506"/>
      <c r="FB23" s="505"/>
      <c r="FC23" s="506"/>
      <c r="FD23" s="505"/>
      <c r="FE23" s="506"/>
      <c r="FF23" s="505"/>
      <c r="FG23" s="506"/>
      <c r="FH23" s="505"/>
      <c r="FI23" s="506"/>
      <c r="FJ23" s="505"/>
      <c r="FK23" s="506"/>
      <c r="FL23" s="505"/>
      <c r="FM23" s="506"/>
      <c r="FN23" s="505"/>
      <c r="FO23" s="506"/>
      <c r="FP23" s="505"/>
      <c r="FQ23" s="506"/>
      <c r="FR23" s="505"/>
      <c r="FS23" s="506"/>
      <c r="FT23" s="505"/>
      <c r="FU23" s="506"/>
      <c r="FV23" s="505"/>
      <c r="FW23" s="506"/>
      <c r="FX23" s="507"/>
      <c r="FY23" s="502"/>
      <c r="FZ23" s="508"/>
      <c r="GA23" s="504"/>
      <c r="GB23" s="505"/>
      <c r="GC23" s="506"/>
      <c r="GD23" s="505"/>
      <c r="GE23" s="506"/>
      <c r="GF23" s="505"/>
      <c r="GG23" s="506"/>
      <c r="GH23" s="505"/>
      <c r="GI23" s="506"/>
      <c r="GJ23" s="505"/>
      <c r="GK23" s="506"/>
      <c r="GL23" s="505"/>
      <c r="GM23" s="506"/>
      <c r="GN23" s="505"/>
      <c r="GO23" s="506"/>
      <c r="GP23" s="505"/>
      <c r="GQ23" s="506"/>
      <c r="GR23" s="505"/>
      <c r="GS23" s="506"/>
      <c r="GT23" s="505"/>
      <c r="GU23" s="506"/>
      <c r="GV23" s="505"/>
      <c r="GW23" s="506"/>
      <c r="GX23" s="505"/>
      <c r="GY23" s="506"/>
      <c r="GZ23" s="505"/>
      <c r="HA23" s="506"/>
      <c r="HB23" s="507"/>
      <c r="HC23" s="502"/>
      <c r="HD23" s="508"/>
      <c r="HE23" s="504"/>
      <c r="HF23" s="505"/>
      <c r="HG23" s="506"/>
      <c r="HH23" s="505"/>
      <c r="HI23" s="506"/>
      <c r="HJ23" s="505"/>
      <c r="HK23" s="506"/>
      <c r="HL23" s="505"/>
      <c r="HM23" s="506"/>
      <c r="HN23" s="505"/>
      <c r="HO23" s="506"/>
      <c r="HP23" s="505"/>
      <c r="HQ23" s="506"/>
      <c r="HR23" s="505"/>
      <c r="HS23" s="506"/>
      <c r="HT23" s="505"/>
      <c r="HU23" s="506"/>
      <c r="HV23" s="505"/>
      <c r="HW23" s="506"/>
      <c r="HX23" s="505"/>
    </row>
    <row r="24" spans="1:232" ht="13.5" thickBot="1" x14ac:dyDescent="0.25">
      <c r="A24" s="502" t="s">
        <v>422</v>
      </c>
      <c r="B24" s="508"/>
      <c r="C24" s="504">
        <v>100</v>
      </c>
      <c r="D24" s="505">
        <v>0</v>
      </c>
      <c r="E24" s="506">
        <f t="shared" si="0"/>
        <v>0</v>
      </c>
      <c r="F24" s="505">
        <v>0.8</v>
      </c>
      <c r="G24" s="506">
        <f t="shared" si="1"/>
        <v>0</v>
      </c>
      <c r="H24" s="505">
        <v>0.17</v>
      </c>
      <c r="I24" s="506">
        <f t="shared" si="2"/>
        <v>0</v>
      </c>
      <c r="J24" s="505">
        <v>0.9</v>
      </c>
      <c r="K24" s="506">
        <f t="shared" si="3"/>
        <v>0</v>
      </c>
      <c r="L24" s="505">
        <v>3</v>
      </c>
      <c r="M24" s="506">
        <f t="shared" si="4"/>
        <v>0</v>
      </c>
      <c r="N24" s="505">
        <v>65</v>
      </c>
      <c r="O24" s="506">
        <f t="shared" si="5"/>
        <v>0</v>
      </c>
      <c r="P24" s="505">
        <v>50</v>
      </c>
      <c r="Q24" s="506">
        <f t="shared" si="6"/>
        <v>0</v>
      </c>
      <c r="R24" s="505">
        <v>0.18</v>
      </c>
      <c r="S24" s="506">
        <f t="shared" si="7"/>
        <v>0</v>
      </c>
      <c r="T24" s="505">
        <v>0.05</v>
      </c>
      <c r="U24" s="506">
        <f t="shared" si="8"/>
        <v>0</v>
      </c>
      <c r="V24" s="505">
        <v>1</v>
      </c>
      <c r="W24" s="506">
        <f t="shared" si="9"/>
        <v>0</v>
      </c>
      <c r="X24" s="505">
        <v>2</v>
      </c>
      <c r="Y24" s="506">
        <f t="shared" si="10"/>
        <v>0</v>
      </c>
      <c r="Z24" s="505">
        <v>0</v>
      </c>
      <c r="AA24" s="506">
        <f t="shared" si="11"/>
        <v>0</v>
      </c>
      <c r="AB24" s="505">
        <v>0</v>
      </c>
      <c r="AC24" s="506">
        <f t="shared" si="12"/>
        <v>0</v>
      </c>
      <c r="AD24" s="507" t="s">
        <v>401</v>
      </c>
      <c r="AE24" s="543"/>
      <c r="AF24" s="544"/>
      <c r="AG24" s="545"/>
      <c r="AH24" s="546"/>
      <c r="AI24" s="543"/>
      <c r="AJ24" s="546"/>
      <c r="AK24" s="543"/>
      <c r="AL24" s="546"/>
      <c r="AM24" s="543"/>
      <c r="AN24" s="546"/>
      <c r="AO24" s="543"/>
      <c r="AP24" s="546"/>
      <c r="AQ24" s="543"/>
      <c r="AR24" s="546"/>
      <c r="AS24" s="543"/>
      <c r="AT24" s="546"/>
      <c r="AU24" s="543"/>
      <c r="AV24" s="546"/>
      <c r="AW24" s="543"/>
      <c r="AX24" s="546"/>
      <c r="AY24" s="543"/>
      <c r="AZ24" s="546"/>
      <c r="BA24" s="543"/>
      <c r="BB24" s="546"/>
      <c r="BC24" s="543"/>
      <c r="BD24" s="546"/>
      <c r="BE24" s="543"/>
      <c r="BF24" s="546"/>
      <c r="BG24" s="543"/>
      <c r="BH24" s="547"/>
      <c r="BI24" s="543"/>
      <c r="BJ24" s="544"/>
      <c r="BK24" s="545"/>
      <c r="BL24" s="546"/>
      <c r="BM24" s="543"/>
      <c r="BN24" s="546"/>
      <c r="BO24" s="543"/>
      <c r="BP24" s="546"/>
      <c r="BQ24" s="543"/>
      <c r="BR24" s="546"/>
      <c r="BS24" s="543"/>
      <c r="BT24" s="546"/>
      <c r="BU24" s="543"/>
      <c r="BV24" s="546"/>
      <c r="BW24" s="543"/>
      <c r="BX24" s="546"/>
      <c r="BY24" s="543"/>
      <c r="BZ24" s="546"/>
      <c r="CA24" s="543"/>
      <c r="CB24" s="546"/>
      <c r="CC24" s="543"/>
      <c r="CD24" s="546"/>
      <c r="CE24" s="543"/>
      <c r="CF24" s="546"/>
      <c r="CG24" s="543"/>
      <c r="CH24" s="546"/>
      <c r="CI24" s="543"/>
      <c r="CJ24" s="546"/>
      <c r="CK24" s="543"/>
      <c r="CL24" s="547"/>
      <c r="CM24" s="543"/>
      <c r="CN24" s="544"/>
      <c r="CO24" s="545"/>
      <c r="CP24" s="546"/>
      <c r="CQ24" s="543"/>
      <c r="CR24" s="546"/>
      <c r="CS24" s="543"/>
      <c r="CT24" s="546"/>
      <c r="CU24" s="543"/>
      <c r="CV24" s="546"/>
      <c r="CW24" s="543"/>
      <c r="CX24" s="546"/>
      <c r="CY24" s="543"/>
      <c r="CZ24" s="546"/>
      <c r="DA24" s="543"/>
      <c r="DB24" s="546"/>
      <c r="DC24" s="543"/>
      <c r="DD24" s="546"/>
      <c r="DE24" s="543"/>
      <c r="DF24" s="546"/>
      <c r="DG24" s="535"/>
      <c r="DH24" s="505"/>
      <c r="DI24" s="506"/>
      <c r="DJ24" s="505"/>
      <c r="DK24" s="506"/>
      <c r="DL24" s="505"/>
      <c r="DM24" s="506"/>
      <c r="DN24" s="505"/>
      <c r="DO24" s="506"/>
      <c r="DP24" s="507"/>
      <c r="DQ24" s="502"/>
      <c r="DR24" s="508"/>
      <c r="DS24" s="504"/>
      <c r="DT24" s="505"/>
      <c r="DU24" s="506"/>
      <c r="DV24" s="505"/>
      <c r="DW24" s="506"/>
      <c r="DX24" s="505"/>
      <c r="DY24" s="506"/>
      <c r="DZ24" s="505"/>
      <c r="EA24" s="506"/>
      <c r="EB24" s="505"/>
      <c r="EC24" s="506"/>
      <c r="ED24" s="505"/>
      <c r="EE24" s="506"/>
      <c r="EF24" s="505"/>
      <c r="EG24" s="506"/>
      <c r="EH24" s="505"/>
      <c r="EI24" s="506"/>
      <c r="EJ24" s="505"/>
      <c r="EK24" s="506"/>
      <c r="EL24" s="505"/>
      <c r="EM24" s="506"/>
      <c r="EN24" s="505"/>
      <c r="EO24" s="506"/>
      <c r="EP24" s="505"/>
      <c r="EQ24" s="506"/>
      <c r="ER24" s="505"/>
      <c r="ES24" s="506"/>
      <c r="ET24" s="507"/>
      <c r="EU24" s="502"/>
      <c r="EV24" s="508"/>
      <c r="EW24" s="504"/>
      <c r="EX24" s="505"/>
      <c r="EY24" s="506"/>
      <c r="EZ24" s="505"/>
      <c r="FA24" s="506"/>
      <c r="FB24" s="505"/>
      <c r="FC24" s="506"/>
      <c r="FD24" s="505"/>
      <c r="FE24" s="506"/>
      <c r="FF24" s="505"/>
      <c r="FG24" s="506"/>
      <c r="FH24" s="505"/>
      <c r="FI24" s="506"/>
      <c r="FJ24" s="505"/>
      <c r="FK24" s="506"/>
      <c r="FL24" s="505"/>
      <c r="FM24" s="506"/>
      <c r="FN24" s="505"/>
      <c r="FO24" s="506"/>
      <c r="FP24" s="505"/>
      <c r="FQ24" s="506"/>
      <c r="FR24" s="505"/>
      <c r="FS24" s="506"/>
      <c r="FT24" s="505"/>
      <c r="FU24" s="506"/>
      <c r="FV24" s="505"/>
      <c r="FW24" s="506"/>
      <c r="FX24" s="507"/>
      <c r="FY24" s="502"/>
      <c r="FZ24" s="508"/>
      <c r="GA24" s="504"/>
      <c r="GB24" s="505"/>
      <c r="GC24" s="506"/>
      <c r="GD24" s="505"/>
      <c r="GE24" s="506"/>
      <c r="GF24" s="505"/>
      <c r="GG24" s="506"/>
      <c r="GH24" s="505"/>
      <c r="GI24" s="506"/>
      <c r="GJ24" s="505"/>
      <c r="GK24" s="506"/>
      <c r="GL24" s="505"/>
      <c r="GM24" s="506"/>
      <c r="GN24" s="505"/>
      <c r="GO24" s="506"/>
      <c r="GP24" s="505"/>
      <c r="GQ24" s="506"/>
      <c r="GR24" s="505"/>
      <c r="GS24" s="506"/>
      <c r="GT24" s="505"/>
      <c r="GU24" s="506"/>
      <c r="GV24" s="505"/>
      <c r="GW24" s="506"/>
      <c r="GX24" s="505"/>
      <c r="GY24" s="506"/>
      <c r="GZ24" s="505"/>
      <c r="HA24" s="506"/>
      <c r="HB24" s="507"/>
      <c r="HC24" s="502"/>
      <c r="HD24" s="508"/>
      <c r="HE24" s="504"/>
      <c r="HF24" s="505"/>
      <c r="HG24" s="506"/>
      <c r="HH24" s="505"/>
      <c r="HI24" s="506"/>
      <c r="HJ24" s="505"/>
      <c r="HK24" s="506"/>
      <c r="HL24" s="505"/>
      <c r="HM24" s="506"/>
      <c r="HN24" s="505"/>
      <c r="HO24" s="506"/>
      <c r="HP24" s="505"/>
      <c r="HQ24" s="506"/>
      <c r="HR24" s="505"/>
      <c r="HS24" s="506"/>
      <c r="HT24" s="505"/>
      <c r="HU24" s="506"/>
      <c r="HV24" s="505"/>
      <c r="HW24" s="506"/>
      <c r="HX24" s="505"/>
    </row>
    <row r="25" spans="1:232" ht="13.5" thickBot="1" x14ac:dyDescent="0.25">
      <c r="A25" s="502" t="s">
        <v>423</v>
      </c>
      <c r="B25" s="508"/>
      <c r="C25" s="504">
        <v>100</v>
      </c>
      <c r="D25" s="505">
        <v>0</v>
      </c>
      <c r="E25" s="506">
        <f t="shared" si="0"/>
        <v>0</v>
      </c>
      <c r="F25" s="505">
        <v>1.6</v>
      </c>
      <c r="G25" s="506">
        <f t="shared" si="1"/>
        <v>0</v>
      </c>
      <c r="H25" s="505">
        <v>0.68</v>
      </c>
      <c r="I25" s="506">
        <f t="shared" si="2"/>
        <v>0</v>
      </c>
      <c r="J25" s="505">
        <v>2.7</v>
      </c>
      <c r="K25" s="506">
        <f t="shared" si="3"/>
        <v>0</v>
      </c>
      <c r="L25" s="505">
        <v>11</v>
      </c>
      <c r="M25" s="506">
        <f t="shared" si="4"/>
        <v>0</v>
      </c>
      <c r="N25" s="505">
        <v>301</v>
      </c>
      <c r="O25" s="506">
        <f t="shared" si="5"/>
        <v>0</v>
      </c>
      <c r="P25" s="505">
        <v>281</v>
      </c>
      <c r="Q25" s="506">
        <f t="shared" si="6"/>
        <v>0</v>
      </c>
      <c r="R25" s="505">
        <v>0.2</v>
      </c>
      <c r="S25" s="506">
        <f t="shared" si="7"/>
        <v>0</v>
      </c>
      <c r="T25" s="505">
        <v>0.12</v>
      </c>
      <c r="U25" s="506">
        <f t="shared" si="8"/>
        <v>0</v>
      </c>
      <c r="V25" s="505">
        <v>2.2000000000000002</v>
      </c>
      <c r="W25" s="506">
        <f t="shared" si="9"/>
        <v>0</v>
      </c>
      <c r="X25" s="505">
        <v>0.25</v>
      </c>
      <c r="Y25" s="506">
        <f t="shared" si="10"/>
        <v>0</v>
      </c>
      <c r="Z25" s="505">
        <v>0</v>
      </c>
      <c r="AA25" s="506">
        <f t="shared" si="11"/>
        <v>0</v>
      </c>
      <c r="AB25" s="505">
        <v>0</v>
      </c>
      <c r="AC25" s="506">
        <f t="shared" si="12"/>
        <v>0</v>
      </c>
      <c r="AD25" s="507" t="s">
        <v>401</v>
      </c>
      <c r="AE25" s="543"/>
      <c r="AF25" s="544"/>
      <c r="AG25" s="545"/>
      <c r="AH25" s="546"/>
      <c r="AI25" s="543"/>
      <c r="AJ25" s="546"/>
      <c r="AK25" s="543"/>
      <c r="AL25" s="546"/>
      <c r="AM25" s="543"/>
      <c r="AN25" s="546"/>
      <c r="AO25" s="543"/>
      <c r="AP25" s="546"/>
      <c r="AQ25" s="543"/>
      <c r="AR25" s="546"/>
      <c r="AS25" s="543"/>
      <c r="AT25" s="546"/>
      <c r="AU25" s="543"/>
      <c r="AV25" s="546"/>
      <c r="AW25" s="543"/>
      <c r="AX25" s="546"/>
      <c r="AY25" s="543"/>
      <c r="AZ25" s="546"/>
      <c r="BA25" s="543"/>
      <c r="BB25" s="546"/>
      <c r="BC25" s="543"/>
      <c r="BD25" s="546"/>
      <c r="BE25" s="543"/>
      <c r="BF25" s="546"/>
      <c r="BG25" s="543"/>
      <c r="BH25" s="547"/>
      <c r="BI25" s="543"/>
      <c r="BJ25" s="544"/>
      <c r="BK25" s="545"/>
      <c r="BL25" s="546"/>
      <c r="BM25" s="543"/>
      <c r="BN25" s="546"/>
      <c r="BO25" s="543"/>
      <c r="BP25" s="546"/>
      <c r="BQ25" s="543"/>
      <c r="BR25" s="546"/>
      <c r="BS25" s="543"/>
      <c r="BT25" s="546"/>
      <c r="BU25" s="543"/>
      <c r="BV25" s="546"/>
      <c r="BW25" s="543"/>
      <c r="BX25" s="546"/>
      <c r="BY25" s="543"/>
      <c r="BZ25" s="546"/>
      <c r="CA25" s="543"/>
      <c r="CB25" s="546"/>
      <c r="CC25" s="543"/>
      <c r="CD25" s="546"/>
      <c r="CE25" s="543"/>
      <c r="CF25" s="546"/>
      <c r="CG25" s="543"/>
      <c r="CH25" s="546"/>
      <c r="CI25" s="543"/>
      <c r="CJ25" s="546"/>
      <c r="CK25" s="543"/>
      <c r="CL25" s="547"/>
      <c r="CM25" s="543"/>
      <c r="CN25" s="544"/>
      <c r="CO25" s="545"/>
      <c r="CP25" s="546"/>
      <c r="CQ25" s="543"/>
      <c r="CR25" s="546"/>
      <c r="CS25" s="543"/>
      <c r="CT25" s="546"/>
      <c r="CU25" s="543"/>
      <c r="CV25" s="546"/>
      <c r="CW25" s="543"/>
      <c r="CX25" s="546"/>
      <c r="CY25" s="543"/>
      <c r="CZ25" s="546"/>
      <c r="DA25" s="543"/>
      <c r="DB25" s="546"/>
      <c r="DC25" s="543"/>
      <c r="DD25" s="546"/>
      <c r="DE25" s="543"/>
      <c r="DF25" s="546"/>
      <c r="DG25" s="535"/>
      <c r="DH25" s="505"/>
      <c r="DI25" s="506"/>
      <c r="DJ25" s="505"/>
      <c r="DK25" s="506"/>
      <c r="DL25" s="505"/>
      <c r="DM25" s="506"/>
      <c r="DN25" s="505"/>
      <c r="DO25" s="506"/>
      <c r="DP25" s="507"/>
      <c r="DQ25" s="502"/>
      <c r="DR25" s="508"/>
      <c r="DS25" s="504"/>
      <c r="DT25" s="505"/>
      <c r="DU25" s="506"/>
      <c r="DV25" s="505"/>
      <c r="DW25" s="506"/>
      <c r="DX25" s="505"/>
      <c r="DY25" s="506"/>
      <c r="DZ25" s="505"/>
      <c r="EA25" s="506"/>
      <c r="EB25" s="505"/>
      <c r="EC25" s="506"/>
      <c r="ED25" s="505"/>
      <c r="EE25" s="506"/>
      <c r="EF25" s="505"/>
      <c r="EG25" s="506"/>
      <c r="EH25" s="505"/>
      <c r="EI25" s="506"/>
      <c r="EJ25" s="505"/>
      <c r="EK25" s="506"/>
      <c r="EL25" s="505"/>
      <c r="EM25" s="506"/>
      <c r="EN25" s="505"/>
      <c r="EO25" s="506"/>
      <c r="EP25" s="505"/>
      <c r="EQ25" s="506"/>
      <c r="ER25" s="505"/>
      <c r="ES25" s="506"/>
      <c r="ET25" s="507"/>
      <c r="EU25" s="502"/>
      <c r="EV25" s="508"/>
      <c r="EW25" s="504"/>
      <c r="EX25" s="505"/>
      <c r="EY25" s="506"/>
      <c r="EZ25" s="505"/>
      <c r="FA25" s="506"/>
      <c r="FB25" s="505"/>
      <c r="FC25" s="506"/>
      <c r="FD25" s="505"/>
      <c r="FE25" s="506"/>
      <c r="FF25" s="505"/>
      <c r="FG25" s="506"/>
      <c r="FH25" s="505"/>
      <c r="FI25" s="506"/>
      <c r="FJ25" s="505"/>
      <c r="FK25" s="506"/>
      <c r="FL25" s="505"/>
      <c r="FM25" s="506"/>
      <c r="FN25" s="505"/>
      <c r="FO25" s="506"/>
      <c r="FP25" s="505"/>
      <c r="FQ25" s="506"/>
      <c r="FR25" s="505"/>
      <c r="FS25" s="506"/>
      <c r="FT25" s="505"/>
      <c r="FU25" s="506"/>
      <c r="FV25" s="505"/>
      <c r="FW25" s="506"/>
      <c r="FX25" s="507"/>
      <c r="FY25" s="502"/>
      <c r="FZ25" s="508"/>
      <c r="GA25" s="504"/>
      <c r="GB25" s="505"/>
      <c r="GC25" s="506"/>
      <c r="GD25" s="505"/>
      <c r="GE25" s="506"/>
      <c r="GF25" s="505"/>
      <c r="GG25" s="506"/>
      <c r="GH25" s="505"/>
      <c r="GI25" s="506"/>
      <c r="GJ25" s="505"/>
      <c r="GK25" s="506"/>
      <c r="GL25" s="505"/>
      <c r="GM25" s="506"/>
      <c r="GN25" s="505"/>
      <c r="GO25" s="506"/>
      <c r="GP25" s="505"/>
      <c r="GQ25" s="506"/>
      <c r="GR25" s="505"/>
      <c r="GS25" s="506"/>
      <c r="GT25" s="505"/>
      <c r="GU25" s="506"/>
      <c r="GV25" s="505"/>
      <c r="GW25" s="506"/>
      <c r="GX25" s="505"/>
      <c r="GY25" s="506"/>
      <c r="GZ25" s="505"/>
      <c r="HA25" s="506"/>
      <c r="HB25" s="507"/>
      <c r="HC25" s="502"/>
      <c r="HD25" s="508"/>
      <c r="HE25" s="504"/>
      <c r="HF25" s="505"/>
      <c r="HG25" s="506"/>
      <c r="HH25" s="505"/>
      <c r="HI25" s="506"/>
      <c r="HJ25" s="505"/>
      <c r="HK25" s="506"/>
      <c r="HL25" s="505"/>
      <c r="HM25" s="506"/>
      <c r="HN25" s="505"/>
      <c r="HO25" s="506"/>
      <c r="HP25" s="505"/>
      <c r="HQ25" s="506"/>
      <c r="HR25" s="505"/>
      <c r="HS25" s="506"/>
      <c r="HT25" s="505"/>
      <c r="HU25" s="506"/>
      <c r="HV25" s="505"/>
      <c r="HW25" s="506"/>
      <c r="HX25" s="505"/>
    </row>
    <row r="26" spans="1:232" ht="13.5" thickBot="1" x14ac:dyDescent="0.25">
      <c r="A26" s="502" t="s">
        <v>424</v>
      </c>
      <c r="B26" s="508">
        <v>240</v>
      </c>
      <c r="C26" s="504">
        <v>100</v>
      </c>
      <c r="D26" s="505">
        <v>0</v>
      </c>
      <c r="E26" s="506">
        <f t="shared" si="0"/>
        <v>0</v>
      </c>
      <c r="F26" s="505">
        <v>0.2</v>
      </c>
      <c r="G26" s="506">
        <f t="shared" si="1"/>
        <v>0.48</v>
      </c>
      <c r="H26" s="505">
        <v>0.14000000000000001</v>
      </c>
      <c r="I26" s="506">
        <f t="shared" si="2"/>
        <v>0.33600000000000002</v>
      </c>
      <c r="J26" s="505">
        <v>0.6</v>
      </c>
      <c r="K26" s="506">
        <f t="shared" si="3"/>
        <v>1.44</v>
      </c>
      <c r="L26" s="505">
        <v>6</v>
      </c>
      <c r="M26" s="506">
        <f t="shared" si="4"/>
        <v>14.4</v>
      </c>
      <c r="N26" s="505">
        <v>110</v>
      </c>
      <c r="O26" s="506">
        <f t="shared" si="5"/>
        <v>264</v>
      </c>
      <c r="P26" s="505">
        <v>120</v>
      </c>
      <c r="Q26" s="506">
        <f t="shared" si="6"/>
        <v>288</v>
      </c>
      <c r="R26" s="505">
        <v>0.06</v>
      </c>
      <c r="S26" s="506">
        <f t="shared" si="7"/>
        <v>0.14399999999999999</v>
      </c>
      <c r="T26" s="505">
        <v>0.03</v>
      </c>
      <c r="U26" s="506">
        <f t="shared" si="8"/>
        <v>7.1999999999999995E-2</v>
      </c>
      <c r="V26" s="505">
        <v>1.3</v>
      </c>
      <c r="W26" s="506">
        <f t="shared" si="9"/>
        <v>3.12</v>
      </c>
      <c r="X26" s="505">
        <v>0.3</v>
      </c>
      <c r="Y26" s="506">
        <f t="shared" si="10"/>
        <v>0.72</v>
      </c>
      <c r="Z26" s="505">
        <v>0</v>
      </c>
      <c r="AA26" s="506">
        <f t="shared" si="11"/>
        <v>0</v>
      </c>
      <c r="AB26" s="505">
        <v>0</v>
      </c>
      <c r="AC26" s="506">
        <f t="shared" si="12"/>
        <v>0</v>
      </c>
      <c r="AD26" s="507" t="s">
        <v>401</v>
      </c>
      <c r="AE26" s="543"/>
      <c r="AF26" s="544"/>
      <c r="AG26" s="545"/>
      <c r="AH26" s="546"/>
      <c r="AI26" s="543"/>
      <c r="AJ26" s="546"/>
      <c r="AK26" s="543"/>
      <c r="AL26" s="546"/>
      <c r="AM26" s="543"/>
      <c r="AN26" s="546"/>
      <c r="AO26" s="543"/>
      <c r="AP26" s="546"/>
      <c r="AQ26" s="543"/>
      <c r="AR26" s="546"/>
      <c r="AS26" s="543"/>
      <c r="AT26" s="546"/>
      <c r="AU26" s="543"/>
      <c r="AV26" s="546"/>
      <c r="AW26" s="543"/>
      <c r="AX26" s="546"/>
      <c r="AY26" s="543"/>
      <c r="AZ26" s="546"/>
      <c r="BA26" s="543"/>
      <c r="BB26" s="546"/>
      <c r="BC26" s="543"/>
      <c r="BD26" s="546"/>
      <c r="BE26" s="543"/>
      <c r="BF26" s="546"/>
      <c r="BG26" s="543"/>
      <c r="BH26" s="547"/>
      <c r="BI26" s="543"/>
      <c r="BJ26" s="544"/>
      <c r="BK26" s="545"/>
      <c r="BL26" s="546"/>
      <c r="BM26" s="543"/>
      <c r="BN26" s="546"/>
      <c r="BO26" s="543"/>
      <c r="BP26" s="546"/>
      <c r="BQ26" s="543"/>
      <c r="BR26" s="546"/>
      <c r="BS26" s="543"/>
      <c r="BT26" s="546"/>
      <c r="BU26" s="543"/>
      <c r="BV26" s="546"/>
      <c r="BW26" s="543"/>
      <c r="BX26" s="546"/>
      <c r="BY26" s="543"/>
      <c r="BZ26" s="546"/>
      <c r="CA26" s="543"/>
      <c r="CB26" s="546"/>
      <c r="CC26" s="543"/>
      <c r="CD26" s="546"/>
      <c r="CE26" s="543"/>
      <c r="CF26" s="546"/>
      <c r="CG26" s="543"/>
      <c r="CH26" s="546"/>
      <c r="CI26" s="543"/>
      <c r="CJ26" s="546"/>
      <c r="CK26" s="543"/>
      <c r="CL26" s="547"/>
      <c r="CM26" s="543"/>
      <c r="CN26" s="544"/>
      <c r="CO26" s="545"/>
      <c r="CP26" s="546"/>
      <c r="CQ26" s="543"/>
      <c r="CR26" s="546"/>
      <c r="CS26" s="543"/>
      <c r="CT26" s="546"/>
      <c r="CU26" s="543"/>
      <c r="CV26" s="546"/>
      <c r="CW26" s="543"/>
      <c r="CX26" s="546"/>
      <c r="CY26" s="543"/>
      <c r="CZ26" s="546"/>
      <c r="DA26" s="543"/>
      <c r="DB26" s="546"/>
      <c r="DC26" s="543"/>
      <c r="DD26" s="546"/>
      <c r="DE26" s="543"/>
      <c r="DF26" s="546"/>
      <c r="DG26" s="535"/>
      <c r="DH26" s="505"/>
      <c r="DI26" s="506"/>
      <c r="DJ26" s="505"/>
      <c r="DK26" s="506"/>
      <c r="DL26" s="505"/>
      <c r="DM26" s="506"/>
      <c r="DN26" s="505"/>
      <c r="DO26" s="506"/>
      <c r="DP26" s="507"/>
      <c r="DQ26" s="502"/>
      <c r="DR26" s="508"/>
      <c r="DS26" s="504"/>
      <c r="DT26" s="505"/>
      <c r="DU26" s="506"/>
      <c r="DV26" s="505"/>
      <c r="DW26" s="506"/>
      <c r="DX26" s="505"/>
      <c r="DY26" s="506"/>
      <c r="DZ26" s="505"/>
      <c r="EA26" s="506"/>
      <c r="EB26" s="505"/>
      <c r="EC26" s="506"/>
      <c r="ED26" s="505"/>
      <c r="EE26" s="506"/>
      <c r="EF26" s="505"/>
      <c r="EG26" s="506"/>
      <c r="EH26" s="505"/>
      <c r="EI26" s="506"/>
      <c r="EJ26" s="505"/>
      <c r="EK26" s="506"/>
      <c r="EL26" s="505"/>
      <c r="EM26" s="506"/>
      <c r="EN26" s="505"/>
      <c r="EO26" s="506"/>
      <c r="EP26" s="505"/>
      <c r="EQ26" s="506"/>
      <c r="ER26" s="505"/>
      <c r="ES26" s="506"/>
      <c r="ET26" s="507"/>
      <c r="EU26" s="502"/>
      <c r="EV26" s="508"/>
      <c r="EW26" s="504"/>
      <c r="EX26" s="505"/>
      <c r="EY26" s="506"/>
      <c r="EZ26" s="505"/>
      <c r="FA26" s="506"/>
      <c r="FB26" s="505"/>
      <c r="FC26" s="506"/>
      <c r="FD26" s="505"/>
      <c r="FE26" s="506"/>
      <c r="FF26" s="505"/>
      <c r="FG26" s="506"/>
      <c r="FH26" s="505"/>
      <c r="FI26" s="506"/>
      <c r="FJ26" s="505"/>
      <c r="FK26" s="506"/>
      <c r="FL26" s="505"/>
      <c r="FM26" s="506"/>
      <c r="FN26" s="505"/>
      <c r="FO26" s="506"/>
      <c r="FP26" s="505"/>
      <c r="FQ26" s="506"/>
      <c r="FR26" s="505"/>
      <c r="FS26" s="506"/>
      <c r="FT26" s="505"/>
      <c r="FU26" s="506"/>
      <c r="FV26" s="505"/>
      <c r="FW26" s="506"/>
      <c r="FX26" s="507"/>
      <c r="FY26" s="502"/>
      <c r="FZ26" s="508"/>
      <c r="GA26" s="504"/>
      <c r="GB26" s="505"/>
      <c r="GC26" s="506"/>
      <c r="GD26" s="505"/>
      <c r="GE26" s="506"/>
      <c r="GF26" s="505"/>
      <c r="GG26" s="506"/>
      <c r="GH26" s="505"/>
      <c r="GI26" s="506"/>
      <c r="GJ26" s="505"/>
      <c r="GK26" s="506"/>
      <c r="GL26" s="505"/>
      <c r="GM26" s="506"/>
      <c r="GN26" s="505"/>
      <c r="GO26" s="506"/>
      <c r="GP26" s="505"/>
      <c r="GQ26" s="506"/>
      <c r="GR26" s="505"/>
      <c r="GS26" s="506"/>
      <c r="GT26" s="505"/>
      <c r="GU26" s="506"/>
      <c r="GV26" s="505"/>
      <c r="GW26" s="506"/>
      <c r="GX26" s="505"/>
      <c r="GY26" s="506"/>
      <c r="GZ26" s="505"/>
      <c r="HA26" s="506"/>
      <c r="HB26" s="507"/>
      <c r="HC26" s="502"/>
      <c r="HD26" s="508"/>
      <c r="HE26" s="504"/>
      <c r="HF26" s="505"/>
      <c r="HG26" s="506"/>
      <c r="HH26" s="505"/>
      <c r="HI26" s="506"/>
      <c r="HJ26" s="505"/>
      <c r="HK26" s="506"/>
      <c r="HL26" s="505"/>
      <c r="HM26" s="506"/>
      <c r="HN26" s="505"/>
      <c r="HO26" s="506"/>
      <c r="HP26" s="505"/>
      <c r="HQ26" s="506"/>
      <c r="HR26" s="505"/>
      <c r="HS26" s="506"/>
      <c r="HT26" s="505"/>
      <c r="HU26" s="506"/>
      <c r="HV26" s="505"/>
      <c r="HW26" s="506"/>
      <c r="HX26" s="505"/>
    </row>
    <row r="27" spans="1:232" ht="13.5" thickBot="1" x14ac:dyDescent="0.25">
      <c r="A27" s="502" t="s">
        <v>425</v>
      </c>
      <c r="B27" s="508"/>
      <c r="C27" s="504">
        <v>100</v>
      </c>
      <c r="D27" s="505">
        <v>0</v>
      </c>
      <c r="E27" s="506">
        <f t="shared" si="0"/>
        <v>0</v>
      </c>
      <c r="F27" s="505">
        <v>10.6</v>
      </c>
      <c r="G27" s="506">
        <f t="shared" si="1"/>
        <v>0</v>
      </c>
      <c r="H27" s="505">
        <v>0.2</v>
      </c>
      <c r="I27" s="506">
        <f t="shared" si="2"/>
        <v>0</v>
      </c>
      <c r="J27" s="505">
        <v>6.7</v>
      </c>
      <c r="K27" s="506">
        <f t="shared" si="3"/>
        <v>0</v>
      </c>
      <c r="L27" s="505">
        <v>20</v>
      </c>
      <c r="M27" s="506">
        <f t="shared" si="4"/>
        <v>0</v>
      </c>
      <c r="N27" s="505">
        <v>150</v>
      </c>
      <c r="O27" s="506">
        <f t="shared" si="5"/>
        <v>0</v>
      </c>
      <c r="P27" s="505">
        <v>130</v>
      </c>
      <c r="Q27" s="506">
        <f t="shared" si="6"/>
        <v>0</v>
      </c>
      <c r="R27" s="505">
        <v>1</v>
      </c>
      <c r="S27" s="506">
        <f t="shared" si="7"/>
        <v>0</v>
      </c>
      <c r="T27" s="505">
        <v>1.5</v>
      </c>
      <c r="U27" s="506">
        <f t="shared" si="8"/>
        <v>0</v>
      </c>
      <c r="V27" s="505">
        <v>16</v>
      </c>
      <c r="W27" s="506">
        <f t="shared" si="9"/>
        <v>0</v>
      </c>
      <c r="X27" s="505">
        <v>1.8</v>
      </c>
      <c r="Y27" s="506">
        <f t="shared" si="10"/>
        <v>0</v>
      </c>
      <c r="Z27" s="505">
        <v>0</v>
      </c>
      <c r="AA27" s="506">
        <f t="shared" si="11"/>
        <v>0</v>
      </c>
      <c r="AB27" s="505">
        <v>0</v>
      </c>
      <c r="AC27" s="506">
        <f t="shared" si="12"/>
        <v>0</v>
      </c>
      <c r="AD27" s="507" t="s">
        <v>401</v>
      </c>
      <c r="AE27" s="543"/>
      <c r="AF27" s="544"/>
      <c r="AG27" s="545"/>
      <c r="AH27" s="546"/>
      <c r="AI27" s="543"/>
      <c r="AJ27" s="546"/>
      <c r="AK27" s="543"/>
      <c r="AL27" s="546"/>
      <c r="AM27" s="543"/>
      <c r="AN27" s="546"/>
      <c r="AO27" s="543"/>
      <c r="AP27" s="546"/>
      <c r="AQ27" s="543"/>
      <c r="AR27" s="546"/>
      <c r="AS27" s="543"/>
      <c r="AT27" s="546"/>
      <c r="AU27" s="543"/>
      <c r="AV27" s="546"/>
      <c r="AW27" s="543"/>
      <c r="AX27" s="546"/>
      <c r="AY27" s="543"/>
      <c r="AZ27" s="546"/>
      <c r="BA27" s="543"/>
      <c r="BB27" s="546"/>
      <c r="BC27" s="543"/>
      <c r="BD27" s="546"/>
      <c r="BE27" s="543"/>
      <c r="BF27" s="546"/>
      <c r="BG27" s="543"/>
      <c r="BH27" s="547"/>
      <c r="BI27" s="543"/>
      <c r="BJ27" s="544"/>
      <c r="BK27" s="545"/>
      <c r="BL27" s="546"/>
      <c r="BM27" s="543"/>
      <c r="BN27" s="546"/>
      <c r="BO27" s="543"/>
      <c r="BP27" s="546"/>
      <c r="BQ27" s="543"/>
      <c r="BR27" s="546"/>
      <c r="BS27" s="543"/>
      <c r="BT27" s="546"/>
      <c r="BU27" s="543"/>
      <c r="BV27" s="546"/>
      <c r="BW27" s="543"/>
      <c r="BX27" s="546"/>
      <c r="BY27" s="543"/>
      <c r="BZ27" s="546"/>
      <c r="CA27" s="543"/>
      <c r="CB27" s="546"/>
      <c r="CC27" s="543"/>
      <c r="CD27" s="546"/>
      <c r="CE27" s="543"/>
      <c r="CF27" s="546"/>
      <c r="CG27" s="543"/>
      <c r="CH27" s="546"/>
      <c r="CI27" s="543"/>
      <c r="CJ27" s="546"/>
      <c r="CK27" s="543"/>
      <c r="CL27" s="547"/>
      <c r="CM27" s="543"/>
      <c r="CN27" s="544"/>
      <c r="CO27" s="545"/>
      <c r="CP27" s="546"/>
      <c r="CQ27" s="543"/>
      <c r="CR27" s="546"/>
      <c r="CS27" s="543"/>
      <c r="CT27" s="546"/>
      <c r="CU27" s="543"/>
      <c r="CV27" s="546"/>
      <c r="CW27" s="543"/>
      <c r="CX27" s="546"/>
      <c r="CY27" s="543"/>
      <c r="CZ27" s="546"/>
      <c r="DA27" s="543"/>
      <c r="DB27" s="546"/>
      <c r="DC27" s="543"/>
      <c r="DD27" s="546"/>
      <c r="DE27" s="543"/>
      <c r="DF27" s="546"/>
      <c r="DG27" s="535"/>
      <c r="DH27" s="505"/>
      <c r="DI27" s="506"/>
      <c r="DJ27" s="505"/>
      <c r="DK27" s="506"/>
      <c r="DL27" s="505"/>
      <c r="DM27" s="506"/>
      <c r="DN27" s="505"/>
      <c r="DO27" s="506"/>
      <c r="DP27" s="507"/>
      <c r="DQ27" s="502"/>
      <c r="DR27" s="508"/>
      <c r="DS27" s="504"/>
      <c r="DT27" s="505"/>
      <c r="DU27" s="506"/>
      <c r="DV27" s="505"/>
      <c r="DW27" s="506"/>
      <c r="DX27" s="505"/>
      <c r="DY27" s="506"/>
      <c r="DZ27" s="505"/>
      <c r="EA27" s="506"/>
      <c r="EB27" s="505"/>
      <c r="EC27" s="506"/>
      <c r="ED27" s="505"/>
      <c r="EE27" s="506"/>
      <c r="EF27" s="505"/>
      <c r="EG27" s="506"/>
      <c r="EH27" s="505"/>
      <c r="EI27" s="506"/>
      <c r="EJ27" s="505"/>
      <c r="EK27" s="506"/>
      <c r="EL27" s="505"/>
      <c r="EM27" s="506"/>
      <c r="EN27" s="505"/>
      <c r="EO27" s="506"/>
      <c r="EP27" s="505"/>
      <c r="EQ27" s="506"/>
      <c r="ER27" s="505"/>
      <c r="ES27" s="506"/>
      <c r="ET27" s="507"/>
      <c r="EU27" s="502"/>
      <c r="EV27" s="508"/>
      <c r="EW27" s="504"/>
      <c r="EX27" s="505"/>
      <c r="EY27" s="506"/>
      <c r="EZ27" s="505"/>
      <c r="FA27" s="506"/>
      <c r="FB27" s="505"/>
      <c r="FC27" s="506"/>
      <c r="FD27" s="505"/>
      <c r="FE27" s="506"/>
      <c r="FF27" s="505"/>
      <c r="FG27" s="506"/>
      <c r="FH27" s="505"/>
      <c r="FI27" s="506"/>
      <c r="FJ27" s="505"/>
      <c r="FK27" s="506"/>
      <c r="FL27" s="505"/>
      <c r="FM27" s="506"/>
      <c r="FN27" s="505"/>
      <c r="FO27" s="506"/>
      <c r="FP27" s="505"/>
      <c r="FQ27" s="506"/>
      <c r="FR27" s="505"/>
      <c r="FS27" s="506"/>
      <c r="FT27" s="505"/>
      <c r="FU27" s="506"/>
      <c r="FV27" s="505"/>
      <c r="FW27" s="506"/>
      <c r="FX27" s="507"/>
      <c r="FY27" s="502"/>
      <c r="FZ27" s="508"/>
      <c r="GA27" s="504"/>
      <c r="GB27" s="505"/>
      <c r="GC27" s="506"/>
      <c r="GD27" s="505"/>
      <c r="GE27" s="506"/>
      <c r="GF27" s="505"/>
      <c r="GG27" s="506"/>
      <c r="GH27" s="505"/>
      <c r="GI27" s="506"/>
      <c r="GJ27" s="505"/>
      <c r="GK27" s="506"/>
      <c r="GL27" s="505"/>
      <c r="GM27" s="506"/>
      <c r="GN27" s="505"/>
      <c r="GO27" s="506"/>
      <c r="GP27" s="505"/>
      <c r="GQ27" s="506"/>
      <c r="GR27" s="505"/>
      <c r="GS27" s="506"/>
      <c r="GT27" s="505"/>
      <c r="GU27" s="506"/>
      <c r="GV27" s="505"/>
      <c r="GW27" s="506"/>
      <c r="GX27" s="505"/>
      <c r="GY27" s="506"/>
      <c r="GZ27" s="505"/>
      <c r="HA27" s="506"/>
      <c r="HB27" s="507"/>
      <c r="HC27" s="502"/>
      <c r="HD27" s="508"/>
      <c r="HE27" s="504"/>
      <c r="HF27" s="505"/>
      <c r="HG27" s="506"/>
      <c r="HH27" s="505"/>
      <c r="HI27" s="506"/>
      <c r="HJ27" s="505"/>
      <c r="HK27" s="506"/>
      <c r="HL27" s="505"/>
      <c r="HM27" s="506"/>
      <c r="HN27" s="505"/>
      <c r="HO27" s="506"/>
      <c r="HP27" s="505"/>
      <c r="HQ27" s="506"/>
      <c r="HR27" s="505"/>
      <c r="HS27" s="506"/>
      <c r="HT27" s="505"/>
      <c r="HU27" s="506"/>
      <c r="HV27" s="505"/>
      <c r="HW27" s="506"/>
      <c r="HX27" s="505"/>
    </row>
    <row r="28" spans="1:232" ht="13.5" thickBot="1" x14ac:dyDescent="0.25">
      <c r="A28" s="502" t="s">
        <v>426</v>
      </c>
      <c r="B28" s="508"/>
      <c r="C28" s="504">
        <v>100</v>
      </c>
      <c r="D28" s="505">
        <v>0</v>
      </c>
      <c r="E28" s="506">
        <f t="shared" si="0"/>
        <v>0</v>
      </c>
      <c r="F28" s="505">
        <v>1.3</v>
      </c>
      <c r="G28" s="506">
        <f t="shared" si="1"/>
        <v>0</v>
      </c>
      <c r="H28" s="505">
        <v>0.56000000000000005</v>
      </c>
      <c r="I28" s="506">
        <f t="shared" si="2"/>
        <v>0</v>
      </c>
      <c r="J28" s="505">
        <v>1.4</v>
      </c>
      <c r="K28" s="506">
        <f t="shared" si="3"/>
        <v>0</v>
      </c>
      <c r="L28" s="505">
        <v>10</v>
      </c>
      <c r="M28" s="506">
        <f t="shared" si="4"/>
        <v>0</v>
      </c>
      <c r="N28" s="505">
        <v>250</v>
      </c>
      <c r="O28" s="506">
        <f t="shared" si="5"/>
        <v>0</v>
      </c>
      <c r="P28" s="505">
        <v>310</v>
      </c>
      <c r="Q28" s="506">
        <f t="shared" si="6"/>
        <v>0</v>
      </c>
      <c r="R28" s="505">
        <v>0.59</v>
      </c>
      <c r="S28" s="506">
        <f t="shared" si="7"/>
        <v>0</v>
      </c>
      <c r="T28" s="505">
        <v>7.0000000000000007E-2</v>
      </c>
      <c r="U28" s="506">
        <f t="shared" si="8"/>
        <v>0</v>
      </c>
      <c r="V28" s="505">
        <v>5.3</v>
      </c>
      <c r="W28" s="506">
        <f t="shared" si="9"/>
        <v>0</v>
      </c>
      <c r="X28" s="505">
        <v>0.51</v>
      </c>
      <c r="Y28" s="506">
        <f t="shared" si="10"/>
        <v>0</v>
      </c>
      <c r="Z28" s="505">
        <v>0</v>
      </c>
      <c r="AA28" s="506">
        <f t="shared" si="11"/>
        <v>0</v>
      </c>
      <c r="AB28" s="505">
        <v>0</v>
      </c>
      <c r="AC28" s="506">
        <f t="shared" si="12"/>
        <v>0</v>
      </c>
      <c r="AD28" s="507" t="s">
        <v>401</v>
      </c>
      <c r="AE28" s="543"/>
      <c r="AF28" s="544"/>
      <c r="AG28" s="545"/>
      <c r="AH28" s="546"/>
      <c r="AI28" s="543"/>
      <c r="AJ28" s="546"/>
      <c r="AK28" s="543"/>
      <c r="AL28" s="546"/>
      <c r="AM28" s="543"/>
      <c r="AN28" s="546"/>
      <c r="AO28" s="543"/>
      <c r="AP28" s="546"/>
      <c r="AQ28" s="543"/>
      <c r="AR28" s="546"/>
      <c r="AS28" s="543"/>
      <c r="AT28" s="546"/>
      <c r="AU28" s="543"/>
      <c r="AV28" s="546"/>
      <c r="AW28" s="543"/>
      <c r="AX28" s="546"/>
      <c r="AY28" s="543"/>
      <c r="AZ28" s="546"/>
      <c r="BA28" s="543"/>
      <c r="BB28" s="546"/>
      <c r="BC28" s="543"/>
      <c r="BD28" s="546"/>
      <c r="BE28" s="543"/>
      <c r="BF28" s="546"/>
      <c r="BG28" s="543"/>
      <c r="BH28" s="547"/>
      <c r="BI28" s="543"/>
      <c r="BJ28" s="544"/>
      <c r="BK28" s="545"/>
      <c r="BL28" s="546"/>
      <c r="BM28" s="543"/>
      <c r="BN28" s="546"/>
      <c r="BO28" s="543"/>
      <c r="BP28" s="546"/>
      <c r="BQ28" s="543"/>
      <c r="BR28" s="546"/>
      <c r="BS28" s="543"/>
      <c r="BT28" s="546"/>
      <c r="BU28" s="543"/>
      <c r="BV28" s="546"/>
      <c r="BW28" s="543"/>
      <c r="BX28" s="546"/>
      <c r="BY28" s="543"/>
      <c r="BZ28" s="546"/>
      <c r="CA28" s="543"/>
      <c r="CB28" s="546"/>
      <c r="CC28" s="543"/>
      <c r="CD28" s="546"/>
      <c r="CE28" s="543"/>
      <c r="CF28" s="546"/>
      <c r="CG28" s="543"/>
      <c r="CH28" s="546"/>
      <c r="CI28" s="543"/>
      <c r="CJ28" s="546"/>
      <c r="CK28" s="543"/>
      <c r="CL28" s="547"/>
      <c r="CM28" s="543"/>
      <c r="CN28" s="544"/>
      <c r="CO28" s="545"/>
      <c r="CP28" s="546"/>
      <c r="CQ28" s="543"/>
      <c r="CR28" s="546"/>
      <c r="CS28" s="543"/>
      <c r="CT28" s="546"/>
      <c r="CU28" s="543"/>
      <c r="CV28" s="546"/>
      <c r="CW28" s="543"/>
      <c r="CX28" s="546"/>
      <c r="CY28" s="543"/>
      <c r="CZ28" s="546"/>
      <c r="DA28" s="543"/>
      <c r="DB28" s="546"/>
      <c r="DC28" s="543"/>
      <c r="DD28" s="546"/>
      <c r="DE28" s="543"/>
      <c r="DF28" s="546"/>
      <c r="DG28" s="535"/>
      <c r="DH28" s="505"/>
      <c r="DI28" s="506"/>
      <c r="DJ28" s="505"/>
      <c r="DK28" s="506"/>
      <c r="DL28" s="505"/>
      <c r="DM28" s="506"/>
      <c r="DN28" s="505"/>
      <c r="DO28" s="506"/>
      <c r="DP28" s="507"/>
      <c r="DQ28" s="502"/>
      <c r="DR28" s="508"/>
      <c r="DS28" s="504"/>
      <c r="DT28" s="505"/>
      <c r="DU28" s="506"/>
      <c r="DV28" s="505"/>
      <c r="DW28" s="506"/>
      <c r="DX28" s="505"/>
      <c r="DY28" s="506"/>
      <c r="DZ28" s="505"/>
      <c r="EA28" s="506"/>
      <c r="EB28" s="505"/>
      <c r="EC28" s="506"/>
      <c r="ED28" s="505"/>
      <c r="EE28" s="506"/>
      <c r="EF28" s="505"/>
      <c r="EG28" s="506"/>
      <c r="EH28" s="505"/>
      <c r="EI28" s="506"/>
      <c r="EJ28" s="505"/>
      <c r="EK28" s="506"/>
      <c r="EL28" s="505"/>
      <c r="EM28" s="506"/>
      <c r="EN28" s="505"/>
      <c r="EO28" s="506"/>
      <c r="EP28" s="505"/>
      <c r="EQ28" s="506"/>
      <c r="ER28" s="505"/>
      <c r="ES28" s="506"/>
      <c r="ET28" s="507"/>
      <c r="EU28" s="502"/>
      <c r="EV28" s="508"/>
      <c r="EW28" s="504"/>
      <c r="EX28" s="505"/>
      <c r="EY28" s="506"/>
      <c r="EZ28" s="505"/>
      <c r="FA28" s="506"/>
      <c r="FB28" s="505"/>
      <c r="FC28" s="506"/>
      <c r="FD28" s="505"/>
      <c r="FE28" s="506"/>
      <c r="FF28" s="505"/>
      <c r="FG28" s="506"/>
      <c r="FH28" s="505"/>
      <c r="FI28" s="506"/>
      <c r="FJ28" s="505"/>
      <c r="FK28" s="506"/>
      <c r="FL28" s="505"/>
      <c r="FM28" s="506"/>
      <c r="FN28" s="505"/>
      <c r="FO28" s="506"/>
      <c r="FP28" s="505"/>
      <c r="FQ28" s="506"/>
      <c r="FR28" s="505"/>
      <c r="FS28" s="506"/>
      <c r="FT28" s="505"/>
      <c r="FU28" s="506"/>
      <c r="FV28" s="505"/>
      <c r="FW28" s="506"/>
      <c r="FX28" s="507"/>
      <c r="FY28" s="502"/>
      <c r="FZ28" s="508"/>
      <c r="GA28" s="504"/>
      <c r="GB28" s="505"/>
      <c r="GC28" s="506"/>
      <c r="GD28" s="505"/>
      <c r="GE28" s="506"/>
      <c r="GF28" s="505"/>
      <c r="GG28" s="506"/>
      <c r="GH28" s="505"/>
      <c r="GI28" s="506"/>
      <c r="GJ28" s="505"/>
      <c r="GK28" s="506"/>
      <c r="GL28" s="505"/>
      <c r="GM28" s="506"/>
      <c r="GN28" s="505"/>
      <c r="GO28" s="506"/>
      <c r="GP28" s="505"/>
      <c r="GQ28" s="506"/>
      <c r="GR28" s="505"/>
      <c r="GS28" s="506"/>
      <c r="GT28" s="505"/>
      <c r="GU28" s="506"/>
      <c r="GV28" s="505"/>
      <c r="GW28" s="506"/>
      <c r="GX28" s="505"/>
      <c r="GY28" s="506"/>
      <c r="GZ28" s="505"/>
      <c r="HA28" s="506"/>
      <c r="HB28" s="507"/>
      <c r="HC28" s="502"/>
      <c r="HD28" s="508"/>
      <c r="HE28" s="504"/>
      <c r="HF28" s="505"/>
      <c r="HG28" s="506"/>
      <c r="HH28" s="505"/>
      <c r="HI28" s="506"/>
      <c r="HJ28" s="505"/>
      <c r="HK28" s="506"/>
      <c r="HL28" s="505"/>
      <c r="HM28" s="506"/>
      <c r="HN28" s="505"/>
      <c r="HO28" s="506"/>
      <c r="HP28" s="505"/>
      <c r="HQ28" s="506"/>
      <c r="HR28" s="505"/>
      <c r="HS28" s="506"/>
      <c r="HT28" s="505"/>
      <c r="HU28" s="506"/>
      <c r="HV28" s="505"/>
      <c r="HW28" s="506"/>
      <c r="HX28" s="505"/>
    </row>
    <row r="29" spans="1:232" ht="13.5" thickBot="1" x14ac:dyDescent="0.25">
      <c r="A29" s="502" t="s">
        <v>427</v>
      </c>
      <c r="B29" s="508"/>
      <c r="C29" s="504">
        <v>100</v>
      </c>
      <c r="D29" s="505">
        <v>0</v>
      </c>
      <c r="E29" s="506">
        <f t="shared" si="0"/>
        <v>0</v>
      </c>
      <c r="F29" s="505">
        <v>2</v>
      </c>
      <c r="G29" s="506">
        <f t="shared" si="1"/>
        <v>0</v>
      </c>
      <c r="H29" s="505">
        <v>0.27</v>
      </c>
      <c r="I29" s="506">
        <f t="shared" si="2"/>
        <v>0</v>
      </c>
      <c r="J29" s="505">
        <v>1.2</v>
      </c>
      <c r="K29" s="506">
        <f t="shared" si="3"/>
        <v>0</v>
      </c>
      <c r="L29" s="505">
        <v>7</v>
      </c>
      <c r="M29" s="506">
        <f t="shared" si="4"/>
        <v>0</v>
      </c>
      <c r="N29" s="505">
        <v>150</v>
      </c>
      <c r="O29" s="506">
        <f t="shared" si="5"/>
        <v>0</v>
      </c>
      <c r="P29" s="505">
        <v>130</v>
      </c>
      <c r="Q29" s="506">
        <f t="shared" si="6"/>
        <v>0</v>
      </c>
      <c r="R29" s="505">
        <v>0.2</v>
      </c>
      <c r="S29" s="506">
        <f t="shared" si="7"/>
        <v>0</v>
      </c>
      <c r="T29" s="505">
        <v>0.08</v>
      </c>
      <c r="U29" s="506">
        <f t="shared" si="8"/>
        <v>0</v>
      </c>
      <c r="V29" s="505">
        <v>2.6</v>
      </c>
      <c r="W29" s="506">
        <f t="shared" si="9"/>
        <v>0</v>
      </c>
      <c r="X29" s="505">
        <v>0.35</v>
      </c>
      <c r="Y29" s="506">
        <f t="shared" si="10"/>
        <v>0</v>
      </c>
      <c r="Z29" s="505">
        <v>0</v>
      </c>
      <c r="AA29" s="506">
        <f t="shared" si="11"/>
        <v>0</v>
      </c>
      <c r="AB29" s="505">
        <v>0</v>
      </c>
      <c r="AC29" s="506">
        <f t="shared" si="12"/>
        <v>0</v>
      </c>
      <c r="AD29" s="507" t="s">
        <v>401</v>
      </c>
      <c r="AE29" s="543"/>
      <c r="AF29" s="544"/>
      <c r="AG29" s="545"/>
      <c r="AH29" s="546"/>
      <c r="AI29" s="543"/>
      <c r="AJ29" s="546"/>
      <c r="AK29" s="543"/>
      <c r="AL29" s="546"/>
      <c r="AM29" s="543"/>
      <c r="AN29" s="546"/>
      <c r="AO29" s="543"/>
      <c r="AP29" s="546"/>
      <c r="AQ29" s="543"/>
      <c r="AR29" s="546"/>
      <c r="AS29" s="543"/>
      <c r="AT29" s="546"/>
      <c r="AU29" s="543"/>
      <c r="AV29" s="546"/>
      <c r="AW29" s="543"/>
      <c r="AX29" s="546"/>
      <c r="AY29" s="543"/>
      <c r="AZ29" s="546"/>
      <c r="BA29" s="543"/>
      <c r="BB29" s="546"/>
      <c r="BC29" s="543"/>
      <c r="BD29" s="546"/>
      <c r="BE29" s="543"/>
      <c r="BF29" s="546"/>
      <c r="BG29" s="543"/>
      <c r="BH29" s="547"/>
      <c r="BI29" s="543"/>
      <c r="BJ29" s="544"/>
      <c r="BK29" s="545"/>
      <c r="BL29" s="546"/>
      <c r="BM29" s="543"/>
      <c r="BN29" s="546"/>
      <c r="BO29" s="543"/>
      <c r="BP29" s="546"/>
      <c r="BQ29" s="543"/>
      <c r="BR29" s="546"/>
      <c r="BS29" s="543"/>
      <c r="BT29" s="546"/>
      <c r="BU29" s="543"/>
      <c r="BV29" s="546"/>
      <c r="BW29" s="543"/>
      <c r="BX29" s="546"/>
      <c r="BY29" s="543"/>
      <c r="BZ29" s="546"/>
      <c r="CA29" s="543"/>
      <c r="CB29" s="546"/>
      <c r="CC29" s="543"/>
      <c r="CD29" s="546"/>
      <c r="CE29" s="543"/>
      <c r="CF29" s="546"/>
      <c r="CG29" s="543"/>
      <c r="CH29" s="546"/>
      <c r="CI29" s="543"/>
      <c r="CJ29" s="546"/>
      <c r="CK29" s="543"/>
      <c r="CL29" s="547"/>
      <c r="CM29" s="543"/>
      <c r="CN29" s="544"/>
      <c r="CO29" s="545"/>
      <c r="CP29" s="546"/>
      <c r="CQ29" s="543"/>
      <c r="CR29" s="546"/>
      <c r="CS29" s="543"/>
      <c r="CT29" s="546"/>
      <c r="CU29" s="543"/>
      <c r="CV29" s="546"/>
      <c r="CW29" s="543"/>
      <c r="CX29" s="546"/>
      <c r="CY29" s="543"/>
      <c r="CZ29" s="546"/>
      <c r="DA29" s="543"/>
      <c r="DB29" s="546"/>
      <c r="DC29" s="543"/>
      <c r="DD29" s="546"/>
      <c r="DE29" s="543"/>
      <c r="DF29" s="546"/>
      <c r="DG29" s="535"/>
      <c r="DH29" s="505"/>
      <c r="DI29" s="506"/>
      <c r="DJ29" s="505"/>
      <c r="DK29" s="506"/>
      <c r="DL29" s="505"/>
      <c r="DM29" s="506"/>
      <c r="DN29" s="505"/>
      <c r="DO29" s="506"/>
      <c r="DP29" s="507"/>
      <c r="DQ29" s="502"/>
      <c r="DR29" s="508"/>
      <c r="DS29" s="504"/>
      <c r="DT29" s="505"/>
      <c r="DU29" s="506"/>
      <c r="DV29" s="505"/>
      <c r="DW29" s="506"/>
      <c r="DX29" s="505"/>
      <c r="DY29" s="506"/>
      <c r="DZ29" s="505"/>
      <c r="EA29" s="506"/>
      <c r="EB29" s="505"/>
      <c r="EC29" s="506"/>
      <c r="ED29" s="505"/>
      <c r="EE29" s="506"/>
      <c r="EF29" s="505"/>
      <c r="EG29" s="506"/>
      <c r="EH29" s="505"/>
      <c r="EI29" s="506"/>
      <c r="EJ29" s="505"/>
      <c r="EK29" s="506"/>
      <c r="EL29" s="505"/>
      <c r="EM29" s="506"/>
      <c r="EN29" s="505"/>
      <c r="EO29" s="506"/>
      <c r="EP29" s="505"/>
      <c r="EQ29" s="506"/>
      <c r="ER29" s="505"/>
      <c r="ES29" s="506"/>
      <c r="ET29" s="507"/>
      <c r="EU29" s="502"/>
      <c r="EV29" s="508"/>
      <c r="EW29" s="504"/>
      <c r="EX29" s="505"/>
      <c r="EY29" s="506"/>
      <c r="EZ29" s="505"/>
      <c r="FA29" s="506"/>
      <c r="FB29" s="505"/>
      <c r="FC29" s="506"/>
      <c r="FD29" s="505"/>
      <c r="FE29" s="506"/>
      <c r="FF29" s="505"/>
      <c r="FG29" s="506"/>
      <c r="FH29" s="505"/>
      <c r="FI29" s="506"/>
      <c r="FJ29" s="505"/>
      <c r="FK29" s="506"/>
      <c r="FL29" s="505"/>
      <c r="FM29" s="506"/>
      <c r="FN29" s="505"/>
      <c r="FO29" s="506"/>
      <c r="FP29" s="505"/>
      <c r="FQ29" s="506"/>
      <c r="FR29" s="505"/>
      <c r="FS29" s="506"/>
      <c r="FT29" s="505"/>
      <c r="FU29" s="506"/>
      <c r="FV29" s="505"/>
      <c r="FW29" s="506"/>
      <c r="FX29" s="507"/>
      <c r="FY29" s="502"/>
      <c r="FZ29" s="508"/>
      <c r="GA29" s="504"/>
      <c r="GB29" s="505"/>
      <c r="GC29" s="506"/>
      <c r="GD29" s="505"/>
      <c r="GE29" s="506"/>
      <c r="GF29" s="505"/>
      <c r="GG29" s="506"/>
      <c r="GH29" s="505"/>
      <c r="GI29" s="506"/>
      <c r="GJ29" s="505"/>
      <c r="GK29" s="506"/>
      <c r="GL29" s="505"/>
      <c r="GM29" s="506"/>
      <c r="GN29" s="505"/>
      <c r="GO29" s="506"/>
      <c r="GP29" s="505"/>
      <c r="GQ29" s="506"/>
      <c r="GR29" s="505"/>
      <c r="GS29" s="506"/>
      <c r="GT29" s="505"/>
      <c r="GU29" s="506"/>
      <c r="GV29" s="505"/>
      <c r="GW29" s="506"/>
      <c r="GX29" s="505"/>
      <c r="GY29" s="506"/>
      <c r="GZ29" s="505"/>
      <c r="HA29" s="506"/>
      <c r="HB29" s="507"/>
      <c r="HC29" s="502"/>
      <c r="HD29" s="508"/>
      <c r="HE29" s="504"/>
      <c r="HF29" s="505"/>
      <c r="HG29" s="506"/>
      <c r="HH29" s="505"/>
      <c r="HI29" s="506"/>
      <c r="HJ29" s="505"/>
      <c r="HK29" s="506"/>
      <c r="HL29" s="505"/>
      <c r="HM29" s="506"/>
      <c r="HN29" s="505"/>
      <c r="HO29" s="506"/>
      <c r="HP29" s="505"/>
      <c r="HQ29" s="506"/>
      <c r="HR29" s="505"/>
      <c r="HS29" s="506"/>
      <c r="HT29" s="505"/>
      <c r="HU29" s="506"/>
      <c r="HV29" s="505"/>
      <c r="HW29" s="506"/>
      <c r="HX29" s="505"/>
    </row>
    <row r="30" spans="1:232" ht="13.5" thickBot="1" x14ac:dyDescent="0.25">
      <c r="A30" s="502" t="s">
        <v>428</v>
      </c>
      <c r="B30" s="508"/>
      <c r="C30" s="504">
        <v>100</v>
      </c>
      <c r="D30" s="505">
        <v>0</v>
      </c>
      <c r="E30" s="506">
        <f t="shared" si="0"/>
        <v>0</v>
      </c>
      <c r="F30" s="505">
        <v>7.2</v>
      </c>
      <c r="G30" s="506">
        <f t="shared" si="1"/>
        <v>0</v>
      </c>
      <c r="H30" s="505">
        <v>7.06</v>
      </c>
      <c r="I30" s="506">
        <f t="shared" si="2"/>
        <v>0</v>
      </c>
      <c r="J30" s="505">
        <v>2.2000000000000002</v>
      </c>
      <c r="K30" s="506">
        <f t="shared" si="3"/>
        <v>0</v>
      </c>
      <c r="L30" s="505">
        <v>38</v>
      </c>
      <c r="M30" s="506">
        <f t="shared" si="4"/>
        <v>0</v>
      </c>
      <c r="N30" s="505">
        <v>260</v>
      </c>
      <c r="O30" s="506">
        <f t="shared" si="5"/>
        <v>0</v>
      </c>
      <c r="P30" s="505">
        <v>220</v>
      </c>
      <c r="Q30" s="506">
        <f t="shared" si="6"/>
        <v>0</v>
      </c>
      <c r="R30" s="505">
        <v>0.5</v>
      </c>
      <c r="S30" s="506">
        <f t="shared" si="7"/>
        <v>0</v>
      </c>
      <c r="T30" s="505">
        <v>0.1</v>
      </c>
      <c r="U30" s="506">
        <f t="shared" si="8"/>
        <v>0</v>
      </c>
      <c r="V30" s="505">
        <v>5.3</v>
      </c>
      <c r="W30" s="506">
        <f t="shared" si="9"/>
        <v>0</v>
      </c>
      <c r="X30" s="505">
        <v>0.25</v>
      </c>
      <c r="Y30" s="506">
        <f t="shared" si="10"/>
        <v>0</v>
      </c>
      <c r="Z30" s="505">
        <v>2</v>
      </c>
      <c r="AA30" s="506">
        <f t="shared" si="11"/>
        <v>0</v>
      </c>
      <c r="AB30" s="505">
        <v>0</v>
      </c>
      <c r="AC30" s="506">
        <f t="shared" si="12"/>
        <v>0</v>
      </c>
      <c r="AD30" s="507" t="s">
        <v>401</v>
      </c>
      <c r="AE30" s="543"/>
      <c r="AF30" s="544"/>
      <c r="AG30" s="545"/>
      <c r="AH30" s="546"/>
      <c r="AI30" s="543"/>
      <c r="AJ30" s="546"/>
      <c r="AK30" s="543"/>
      <c r="AL30" s="546"/>
      <c r="AM30" s="543"/>
      <c r="AN30" s="546"/>
      <c r="AO30" s="543"/>
      <c r="AP30" s="546"/>
      <c r="AQ30" s="543"/>
      <c r="AR30" s="546"/>
      <c r="AS30" s="543"/>
      <c r="AT30" s="546"/>
      <c r="AU30" s="543"/>
      <c r="AV30" s="546"/>
      <c r="AW30" s="543"/>
      <c r="AX30" s="546"/>
      <c r="AY30" s="543"/>
      <c r="AZ30" s="546"/>
      <c r="BA30" s="543"/>
      <c r="BB30" s="546"/>
      <c r="BC30" s="543"/>
      <c r="BD30" s="546"/>
      <c r="BE30" s="543"/>
      <c r="BF30" s="546"/>
      <c r="BG30" s="543"/>
      <c r="BH30" s="547"/>
      <c r="BI30" s="543"/>
      <c r="BJ30" s="544"/>
      <c r="BK30" s="545"/>
      <c r="BL30" s="546"/>
      <c r="BM30" s="543"/>
      <c r="BN30" s="546"/>
      <c r="BO30" s="543"/>
      <c r="BP30" s="546"/>
      <c r="BQ30" s="543"/>
      <c r="BR30" s="546"/>
      <c r="BS30" s="543"/>
      <c r="BT30" s="546"/>
      <c r="BU30" s="543"/>
      <c r="BV30" s="546"/>
      <c r="BW30" s="543"/>
      <c r="BX30" s="546"/>
      <c r="BY30" s="543"/>
      <c r="BZ30" s="546"/>
      <c r="CA30" s="543"/>
      <c r="CB30" s="546"/>
      <c r="CC30" s="543"/>
      <c r="CD30" s="546"/>
      <c r="CE30" s="543"/>
      <c r="CF30" s="546"/>
      <c r="CG30" s="543"/>
      <c r="CH30" s="546"/>
      <c r="CI30" s="543"/>
      <c r="CJ30" s="546"/>
      <c r="CK30" s="543"/>
      <c r="CL30" s="547"/>
      <c r="CM30" s="543"/>
      <c r="CN30" s="544"/>
      <c r="CO30" s="545"/>
      <c r="CP30" s="546"/>
      <c r="CQ30" s="543"/>
      <c r="CR30" s="546"/>
      <c r="CS30" s="543"/>
      <c r="CT30" s="546"/>
      <c r="CU30" s="543"/>
      <c r="CV30" s="546"/>
      <c r="CW30" s="543"/>
      <c r="CX30" s="546"/>
      <c r="CY30" s="543"/>
      <c r="CZ30" s="546"/>
      <c r="DA30" s="543"/>
      <c r="DB30" s="546"/>
      <c r="DC30" s="543"/>
      <c r="DD30" s="546"/>
      <c r="DE30" s="543"/>
      <c r="DF30" s="546"/>
      <c r="DG30" s="535"/>
      <c r="DH30" s="505"/>
      <c r="DI30" s="506"/>
      <c r="DJ30" s="505"/>
      <c r="DK30" s="506"/>
      <c r="DL30" s="505"/>
      <c r="DM30" s="506"/>
      <c r="DN30" s="505"/>
      <c r="DO30" s="506"/>
      <c r="DP30" s="507"/>
      <c r="DQ30" s="502"/>
      <c r="DR30" s="508"/>
      <c r="DS30" s="504"/>
      <c r="DT30" s="505"/>
      <c r="DU30" s="506"/>
      <c r="DV30" s="505"/>
      <c r="DW30" s="506"/>
      <c r="DX30" s="505"/>
      <c r="DY30" s="506"/>
      <c r="DZ30" s="505"/>
      <c r="EA30" s="506"/>
      <c r="EB30" s="505"/>
      <c r="EC30" s="506"/>
      <c r="ED30" s="505"/>
      <c r="EE30" s="506"/>
      <c r="EF30" s="505"/>
      <c r="EG30" s="506"/>
      <c r="EH30" s="505"/>
      <c r="EI30" s="506"/>
      <c r="EJ30" s="505"/>
      <c r="EK30" s="506"/>
      <c r="EL30" s="505"/>
      <c r="EM30" s="506"/>
      <c r="EN30" s="505"/>
      <c r="EO30" s="506"/>
      <c r="EP30" s="505"/>
      <c r="EQ30" s="506"/>
      <c r="ER30" s="505"/>
      <c r="ES30" s="506"/>
      <c r="ET30" s="507"/>
      <c r="EU30" s="502"/>
      <c r="EV30" s="508"/>
      <c r="EW30" s="504"/>
      <c r="EX30" s="505"/>
      <c r="EY30" s="506"/>
      <c r="EZ30" s="505"/>
      <c r="FA30" s="506"/>
      <c r="FB30" s="505"/>
      <c r="FC30" s="506"/>
      <c r="FD30" s="505"/>
      <c r="FE30" s="506"/>
      <c r="FF30" s="505"/>
      <c r="FG30" s="506"/>
      <c r="FH30" s="505"/>
      <c r="FI30" s="506"/>
      <c r="FJ30" s="505"/>
      <c r="FK30" s="506"/>
      <c r="FL30" s="505"/>
      <c r="FM30" s="506"/>
      <c r="FN30" s="505"/>
      <c r="FO30" s="506"/>
      <c r="FP30" s="505"/>
      <c r="FQ30" s="506"/>
      <c r="FR30" s="505"/>
      <c r="FS30" s="506"/>
      <c r="FT30" s="505"/>
      <c r="FU30" s="506"/>
      <c r="FV30" s="505"/>
      <c r="FW30" s="506"/>
      <c r="FX30" s="507"/>
      <c r="FY30" s="502"/>
      <c r="FZ30" s="508"/>
      <c r="GA30" s="504"/>
      <c r="GB30" s="505"/>
      <c r="GC30" s="506"/>
      <c r="GD30" s="505"/>
      <c r="GE30" s="506"/>
      <c r="GF30" s="505"/>
      <c r="GG30" s="506"/>
      <c r="GH30" s="505"/>
      <c r="GI30" s="506"/>
      <c r="GJ30" s="505"/>
      <c r="GK30" s="506"/>
      <c r="GL30" s="505"/>
      <c r="GM30" s="506"/>
      <c r="GN30" s="505"/>
      <c r="GO30" s="506"/>
      <c r="GP30" s="505"/>
      <c r="GQ30" s="506"/>
      <c r="GR30" s="505"/>
      <c r="GS30" s="506"/>
      <c r="GT30" s="505"/>
      <c r="GU30" s="506"/>
      <c r="GV30" s="505"/>
      <c r="GW30" s="506"/>
      <c r="GX30" s="505"/>
      <c r="GY30" s="506"/>
      <c r="GZ30" s="505"/>
      <c r="HA30" s="506"/>
      <c r="HB30" s="507"/>
      <c r="HC30" s="502"/>
      <c r="HD30" s="508"/>
      <c r="HE30" s="504"/>
      <c r="HF30" s="505"/>
      <c r="HG30" s="506"/>
      <c r="HH30" s="505"/>
      <c r="HI30" s="506"/>
      <c r="HJ30" s="505"/>
      <c r="HK30" s="506"/>
      <c r="HL30" s="505"/>
      <c r="HM30" s="506"/>
      <c r="HN30" s="505"/>
      <c r="HO30" s="506"/>
      <c r="HP30" s="505"/>
      <c r="HQ30" s="506"/>
      <c r="HR30" s="505"/>
      <c r="HS30" s="506"/>
      <c r="HT30" s="505"/>
      <c r="HU30" s="506"/>
      <c r="HV30" s="505"/>
      <c r="HW30" s="506"/>
      <c r="HX30" s="505"/>
    </row>
    <row r="31" spans="1:232" ht="13.5" thickBot="1" x14ac:dyDescent="0.25">
      <c r="A31" s="502" t="s">
        <v>429</v>
      </c>
      <c r="B31" s="508"/>
      <c r="C31" s="504">
        <v>100</v>
      </c>
      <c r="D31" s="505">
        <v>34</v>
      </c>
      <c r="E31" s="506">
        <f t="shared" si="0"/>
        <v>0</v>
      </c>
      <c r="F31" s="505">
        <v>0</v>
      </c>
      <c r="G31" s="506">
        <f t="shared" si="1"/>
        <v>0</v>
      </c>
      <c r="H31" s="505">
        <v>1.82</v>
      </c>
      <c r="I31" s="506">
        <f t="shared" si="2"/>
        <v>0</v>
      </c>
      <c r="J31" s="505">
        <v>7.1</v>
      </c>
      <c r="K31" s="506">
        <f t="shared" si="3"/>
        <v>0</v>
      </c>
      <c r="L31" s="505">
        <v>35</v>
      </c>
      <c r="M31" s="506">
        <f t="shared" si="4"/>
        <v>0</v>
      </c>
      <c r="N31" s="505">
        <v>323</v>
      </c>
      <c r="O31" s="506">
        <f t="shared" si="5"/>
        <v>0</v>
      </c>
      <c r="P31" s="505">
        <v>200</v>
      </c>
      <c r="Q31" s="506">
        <f t="shared" si="6"/>
        <v>0</v>
      </c>
      <c r="R31" s="505">
        <v>0.12</v>
      </c>
      <c r="S31" s="506">
        <f t="shared" si="7"/>
        <v>0</v>
      </c>
      <c r="T31" s="505">
        <v>0.6</v>
      </c>
      <c r="U31" s="506">
        <f t="shared" si="8"/>
        <v>0</v>
      </c>
      <c r="V31" s="505">
        <v>2.4</v>
      </c>
      <c r="W31" s="506">
        <f t="shared" si="9"/>
        <v>0</v>
      </c>
      <c r="X31" s="505">
        <v>0.53</v>
      </c>
      <c r="Y31" s="506">
        <f t="shared" si="10"/>
        <v>0</v>
      </c>
      <c r="Z31" s="505">
        <v>0</v>
      </c>
      <c r="AA31" s="506">
        <f t="shared" si="11"/>
        <v>0</v>
      </c>
      <c r="AB31" s="505">
        <v>0</v>
      </c>
      <c r="AC31" s="506">
        <f t="shared" si="12"/>
        <v>0</v>
      </c>
      <c r="AD31" s="507" t="s">
        <v>430</v>
      </c>
    </row>
    <row r="32" spans="1:232" ht="13.5" thickBot="1" x14ac:dyDescent="0.25">
      <c r="A32" s="502" t="s">
        <v>431</v>
      </c>
      <c r="B32" s="508"/>
      <c r="C32" s="504">
        <v>68</v>
      </c>
      <c r="D32" s="505">
        <v>22</v>
      </c>
      <c r="E32" s="506">
        <f t="shared" si="0"/>
        <v>0</v>
      </c>
      <c r="F32" s="505">
        <v>0.5</v>
      </c>
      <c r="G32" s="506">
        <f t="shared" si="1"/>
        <v>0</v>
      </c>
      <c r="H32" s="505">
        <v>2.04</v>
      </c>
      <c r="I32" s="506">
        <f t="shared" si="2"/>
        <v>0</v>
      </c>
      <c r="J32" s="505">
        <v>1.3</v>
      </c>
      <c r="K32" s="506">
        <f t="shared" si="3"/>
        <v>0</v>
      </c>
      <c r="L32" s="505">
        <v>17</v>
      </c>
      <c r="M32" s="506">
        <f t="shared" si="4"/>
        <v>0</v>
      </c>
      <c r="N32" s="505">
        <v>360</v>
      </c>
      <c r="O32" s="506">
        <f t="shared" si="5"/>
        <v>0</v>
      </c>
      <c r="P32" s="505">
        <v>180</v>
      </c>
      <c r="Q32" s="506">
        <f t="shared" si="6"/>
        <v>0</v>
      </c>
      <c r="R32" s="505">
        <v>0.17</v>
      </c>
      <c r="S32" s="506">
        <f t="shared" si="7"/>
        <v>0</v>
      </c>
      <c r="T32" s="505">
        <v>0.11</v>
      </c>
      <c r="U32" s="506">
        <f t="shared" si="8"/>
        <v>0</v>
      </c>
      <c r="V32" s="505">
        <v>3.7</v>
      </c>
      <c r="W32" s="506">
        <f t="shared" si="9"/>
        <v>0</v>
      </c>
      <c r="X32" s="505">
        <v>0.5</v>
      </c>
      <c r="Y32" s="506">
        <f t="shared" si="10"/>
        <v>0</v>
      </c>
      <c r="Z32" s="505">
        <v>0</v>
      </c>
      <c r="AA32" s="506">
        <f t="shared" si="11"/>
        <v>0</v>
      </c>
      <c r="AB32" s="505">
        <v>0</v>
      </c>
      <c r="AC32" s="506">
        <f t="shared" si="12"/>
        <v>0</v>
      </c>
      <c r="AD32" s="507" t="s">
        <v>430</v>
      </c>
    </row>
    <row r="33" spans="1:30" ht="13.5" thickBot="1" x14ac:dyDescent="0.25">
      <c r="A33" s="502" t="s">
        <v>432</v>
      </c>
      <c r="B33" s="508"/>
      <c r="C33" s="504">
        <v>70</v>
      </c>
      <c r="D33" s="505">
        <v>20</v>
      </c>
      <c r="E33" s="506">
        <f t="shared" si="0"/>
        <v>0</v>
      </c>
      <c r="F33" s="505">
        <v>0.2</v>
      </c>
      <c r="G33" s="506">
        <f t="shared" si="1"/>
        <v>0</v>
      </c>
      <c r="H33" s="505">
        <v>4.09</v>
      </c>
      <c r="I33" s="506">
        <f t="shared" si="2"/>
        <v>0</v>
      </c>
      <c r="J33" s="505">
        <v>1.6</v>
      </c>
      <c r="K33" s="506">
        <f t="shared" si="3"/>
        <v>0</v>
      </c>
      <c r="L33" s="505">
        <v>15</v>
      </c>
      <c r="M33" s="506">
        <f t="shared" si="4"/>
        <v>0</v>
      </c>
      <c r="N33" s="505">
        <v>320</v>
      </c>
      <c r="O33" s="506">
        <f t="shared" si="5"/>
        <v>0</v>
      </c>
      <c r="P33" s="505">
        <v>205</v>
      </c>
      <c r="Q33" s="506">
        <f t="shared" si="6"/>
        <v>0</v>
      </c>
      <c r="R33" s="505">
        <v>0.3</v>
      </c>
      <c r="S33" s="506">
        <f t="shared" si="7"/>
        <v>0</v>
      </c>
      <c r="T33" s="505">
        <v>0.1</v>
      </c>
      <c r="U33" s="506">
        <f t="shared" si="8"/>
        <v>0</v>
      </c>
      <c r="V33" s="505">
        <v>4</v>
      </c>
      <c r="W33" s="506">
        <f t="shared" si="9"/>
        <v>0</v>
      </c>
      <c r="X33" s="505">
        <v>0.38</v>
      </c>
      <c r="Y33" s="506">
        <f t="shared" si="10"/>
        <v>0</v>
      </c>
      <c r="Z33" s="505">
        <v>0</v>
      </c>
      <c r="AA33" s="506">
        <f t="shared" si="11"/>
        <v>0</v>
      </c>
      <c r="AB33" s="505">
        <v>0</v>
      </c>
      <c r="AC33" s="506">
        <f t="shared" si="12"/>
        <v>0</v>
      </c>
      <c r="AD33" s="507" t="s">
        <v>430</v>
      </c>
    </row>
    <row r="34" spans="1:30" ht="13.5" thickBot="1" x14ac:dyDescent="0.25">
      <c r="A34" s="502" t="s">
        <v>433</v>
      </c>
      <c r="B34" s="508"/>
      <c r="C34" s="504">
        <v>80</v>
      </c>
      <c r="D34" s="505">
        <v>17</v>
      </c>
      <c r="E34" s="506">
        <f t="shared" si="0"/>
        <v>0</v>
      </c>
      <c r="F34" s="505">
        <v>0</v>
      </c>
      <c r="G34" s="506">
        <f t="shared" si="1"/>
        <v>0</v>
      </c>
      <c r="H34" s="505">
        <v>2.16</v>
      </c>
      <c r="I34" s="506">
        <f t="shared" si="2"/>
        <v>0</v>
      </c>
      <c r="J34" s="505">
        <v>2</v>
      </c>
      <c r="K34" s="506">
        <f t="shared" si="3"/>
        <v>0</v>
      </c>
      <c r="L34" s="505">
        <v>18</v>
      </c>
      <c r="M34" s="506">
        <f t="shared" si="4"/>
        <v>0</v>
      </c>
      <c r="N34" s="505">
        <v>300</v>
      </c>
      <c r="O34" s="506">
        <f t="shared" ref="O34:O65" si="13">N34*B35/100</f>
        <v>0</v>
      </c>
      <c r="P34" s="505">
        <v>192</v>
      </c>
      <c r="Q34" s="506">
        <f t="shared" si="6"/>
        <v>0</v>
      </c>
      <c r="R34" s="505">
        <v>0.08</v>
      </c>
      <c r="S34" s="506">
        <f t="shared" si="7"/>
        <v>0</v>
      </c>
      <c r="T34" s="505">
        <v>0.2</v>
      </c>
      <c r="U34" s="506">
        <f t="shared" si="8"/>
        <v>0</v>
      </c>
      <c r="V34" s="505">
        <v>4.7</v>
      </c>
      <c r="W34" s="506">
        <f t="shared" si="9"/>
        <v>0</v>
      </c>
      <c r="X34" s="505">
        <v>0.23</v>
      </c>
      <c r="Y34" s="506">
        <f t="shared" si="10"/>
        <v>0</v>
      </c>
      <c r="Z34" s="505">
        <v>3</v>
      </c>
      <c r="AA34" s="506">
        <f t="shared" si="11"/>
        <v>0</v>
      </c>
      <c r="AB34" s="505">
        <v>0</v>
      </c>
      <c r="AC34" s="506">
        <f t="shared" si="12"/>
        <v>0</v>
      </c>
      <c r="AD34" s="507" t="s">
        <v>430</v>
      </c>
    </row>
    <row r="35" spans="1:30" ht="13.5" thickBot="1" x14ac:dyDescent="0.25">
      <c r="A35" s="502" t="s">
        <v>434</v>
      </c>
      <c r="B35" s="508"/>
      <c r="C35" s="504">
        <v>100</v>
      </c>
      <c r="D35" s="505">
        <v>22</v>
      </c>
      <c r="E35" s="506">
        <f t="shared" si="0"/>
        <v>0</v>
      </c>
      <c r="F35" s="505">
        <v>0</v>
      </c>
      <c r="G35" s="506">
        <f t="shared" si="1"/>
        <v>0</v>
      </c>
      <c r="H35" s="505">
        <v>0.25</v>
      </c>
      <c r="I35" s="506">
        <f t="shared" si="2"/>
        <v>0</v>
      </c>
      <c r="J35" s="505">
        <v>1.6</v>
      </c>
      <c r="K35" s="506">
        <f t="shared" si="3"/>
        <v>0</v>
      </c>
      <c r="L35" s="505">
        <v>19</v>
      </c>
      <c r="M35" s="506">
        <f t="shared" si="4"/>
        <v>0</v>
      </c>
      <c r="N35" s="505">
        <v>330</v>
      </c>
      <c r="O35" s="506">
        <f t="shared" si="13"/>
        <v>0</v>
      </c>
      <c r="P35" s="505">
        <v>200</v>
      </c>
      <c r="Q35" s="506">
        <f t="shared" si="6"/>
        <v>0</v>
      </c>
      <c r="R35" s="505">
        <v>0.06</v>
      </c>
      <c r="S35" s="506">
        <f t="shared" si="7"/>
        <v>0</v>
      </c>
      <c r="T35" s="505">
        <v>0.12</v>
      </c>
      <c r="U35" s="506">
        <f t="shared" si="8"/>
        <v>0</v>
      </c>
      <c r="V35" s="505">
        <v>13</v>
      </c>
      <c r="W35" s="506">
        <f t="shared" si="9"/>
        <v>0</v>
      </c>
      <c r="X35" s="505">
        <v>0.51</v>
      </c>
      <c r="Y35" s="506">
        <f t="shared" si="10"/>
        <v>0</v>
      </c>
      <c r="Z35" s="505">
        <v>0</v>
      </c>
      <c r="AA35" s="506">
        <f t="shared" si="11"/>
        <v>0</v>
      </c>
      <c r="AB35" s="505">
        <v>0</v>
      </c>
      <c r="AC35" s="506">
        <f t="shared" si="12"/>
        <v>0</v>
      </c>
      <c r="AD35" s="507" t="s">
        <v>430</v>
      </c>
    </row>
    <row r="36" spans="1:30" ht="13.5" thickBot="1" x14ac:dyDescent="0.25">
      <c r="A36" s="502" t="s">
        <v>435</v>
      </c>
      <c r="B36" s="508"/>
      <c r="C36" s="504">
        <v>87</v>
      </c>
      <c r="D36" s="505">
        <v>20</v>
      </c>
      <c r="E36" s="506">
        <f t="shared" si="0"/>
        <v>0</v>
      </c>
      <c r="F36" s="505">
        <v>0.4</v>
      </c>
      <c r="G36" s="506">
        <f t="shared" si="1"/>
        <v>0</v>
      </c>
      <c r="H36" s="505">
        <v>3.39</v>
      </c>
      <c r="I36" s="506">
        <f t="shared" si="2"/>
        <v>0</v>
      </c>
      <c r="J36" s="505">
        <v>2.5</v>
      </c>
      <c r="K36" s="506">
        <f t="shared" si="3"/>
        <v>0</v>
      </c>
      <c r="L36" s="505">
        <v>23</v>
      </c>
      <c r="M36" s="506">
        <f t="shared" si="4"/>
        <v>0</v>
      </c>
      <c r="N36" s="505">
        <v>320</v>
      </c>
      <c r="O36" s="506">
        <f t="shared" si="13"/>
        <v>0</v>
      </c>
      <c r="P36" s="505">
        <v>257</v>
      </c>
      <c r="Q36" s="506">
        <f t="shared" si="6"/>
        <v>0</v>
      </c>
      <c r="R36" s="505">
        <v>0.11</v>
      </c>
      <c r="S36" s="506">
        <f t="shared" si="7"/>
        <v>0</v>
      </c>
      <c r="T36" s="505">
        <v>0.14000000000000001</v>
      </c>
      <c r="U36" s="506">
        <f t="shared" si="8"/>
        <v>0</v>
      </c>
      <c r="V36" s="505">
        <v>7.1</v>
      </c>
      <c r="W36" s="506">
        <f t="shared" si="9"/>
        <v>0</v>
      </c>
      <c r="X36" s="505">
        <v>0.35</v>
      </c>
      <c r="Y36" s="506">
        <f t="shared" si="10"/>
        <v>0</v>
      </c>
      <c r="Z36" s="505">
        <v>0</v>
      </c>
      <c r="AA36" s="506">
        <f t="shared" si="11"/>
        <v>0</v>
      </c>
      <c r="AB36" s="505">
        <v>0</v>
      </c>
      <c r="AC36" s="506">
        <f t="shared" si="12"/>
        <v>0</v>
      </c>
      <c r="AD36" s="507" t="s">
        <v>430</v>
      </c>
    </row>
    <row r="37" spans="1:30" ht="13.5" thickBot="1" x14ac:dyDescent="0.25">
      <c r="A37" s="502" t="s">
        <v>436</v>
      </c>
      <c r="B37" s="508"/>
      <c r="C37" s="504">
        <v>100</v>
      </c>
      <c r="D37" s="505">
        <v>22</v>
      </c>
      <c r="E37" s="506">
        <f t="shared" si="0"/>
        <v>0</v>
      </c>
      <c r="F37" s="505">
        <v>0.4</v>
      </c>
      <c r="G37" s="506">
        <f t="shared" si="1"/>
        <v>0</v>
      </c>
      <c r="H37" s="505">
        <v>1.59</v>
      </c>
      <c r="I37" s="506">
        <f t="shared" si="2"/>
        <v>0</v>
      </c>
      <c r="J37" s="505">
        <v>2.5</v>
      </c>
      <c r="K37" s="506">
        <f t="shared" si="3"/>
        <v>0</v>
      </c>
      <c r="L37" s="505">
        <v>23</v>
      </c>
      <c r="M37" s="506">
        <f t="shared" si="4"/>
        <v>0</v>
      </c>
      <c r="N37" s="505">
        <v>320</v>
      </c>
      <c r="O37" s="506">
        <f t="shared" si="13"/>
        <v>576</v>
      </c>
      <c r="P37" s="505">
        <v>290</v>
      </c>
      <c r="Q37" s="506">
        <f t="shared" si="6"/>
        <v>0</v>
      </c>
      <c r="R37" s="505">
        <v>0.08</v>
      </c>
      <c r="S37" s="506">
        <f t="shared" si="7"/>
        <v>0</v>
      </c>
      <c r="T37" s="505">
        <v>0.13</v>
      </c>
      <c r="U37" s="506">
        <f t="shared" si="8"/>
        <v>0</v>
      </c>
      <c r="V37" s="505">
        <v>0.8</v>
      </c>
      <c r="W37" s="506">
        <f t="shared" si="9"/>
        <v>0</v>
      </c>
      <c r="X37" s="505">
        <v>0.81</v>
      </c>
      <c r="Y37" s="506">
        <f t="shared" si="10"/>
        <v>0</v>
      </c>
      <c r="Z37" s="505">
        <v>0</v>
      </c>
      <c r="AA37" s="506">
        <f t="shared" si="11"/>
        <v>0</v>
      </c>
      <c r="AB37" s="505">
        <v>0</v>
      </c>
      <c r="AC37" s="506">
        <f t="shared" si="12"/>
        <v>0</v>
      </c>
      <c r="AD37" s="507" t="s">
        <v>430</v>
      </c>
    </row>
    <row r="38" spans="1:30" ht="13.5" thickBot="1" x14ac:dyDescent="0.25">
      <c r="A38" s="502" t="s">
        <v>654</v>
      </c>
      <c r="B38" s="508">
        <v>180</v>
      </c>
      <c r="C38" s="504">
        <v>100</v>
      </c>
      <c r="D38" s="505">
        <v>19.100000000000001</v>
      </c>
      <c r="E38" s="506">
        <f t="shared" si="0"/>
        <v>34.380000000000003</v>
      </c>
      <c r="F38" s="505">
        <v>0</v>
      </c>
      <c r="G38" s="506">
        <f t="shared" si="1"/>
        <v>0</v>
      </c>
      <c r="H38" s="505">
        <v>4</v>
      </c>
      <c r="I38" s="506">
        <f t="shared" si="2"/>
        <v>7.2</v>
      </c>
      <c r="J38" s="505">
        <v>2.1</v>
      </c>
      <c r="K38" s="506">
        <f t="shared" si="3"/>
        <v>3.78</v>
      </c>
      <c r="L38" s="505">
        <v>10</v>
      </c>
      <c r="M38" s="506">
        <f t="shared" si="4"/>
        <v>18</v>
      </c>
      <c r="N38" s="505">
        <v>330</v>
      </c>
      <c r="O38" s="506">
        <f t="shared" si="13"/>
        <v>0</v>
      </c>
      <c r="P38" s="505">
        <v>172</v>
      </c>
      <c r="Q38" s="506">
        <f t="shared" si="6"/>
        <v>309.60000000000002</v>
      </c>
      <c r="R38" s="505">
        <v>0.1</v>
      </c>
      <c r="S38" s="506">
        <f t="shared" si="7"/>
        <v>0.18</v>
      </c>
      <c r="T38" s="505">
        <v>0.12</v>
      </c>
      <c r="U38" s="506">
        <f t="shared" si="8"/>
        <v>0.21599999999999997</v>
      </c>
      <c r="V38" s="505">
        <v>5.9</v>
      </c>
      <c r="W38" s="506">
        <f t="shared" si="9"/>
        <v>10.62</v>
      </c>
      <c r="X38" s="505">
        <v>0.5</v>
      </c>
      <c r="Y38" s="506">
        <f t="shared" si="10"/>
        <v>0.9</v>
      </c>
      <c r="Z38" s="505">
        <v>0</v>
      </c>
      <c r="AA38" s="506">
        <f t="shared" si="11"/>
        <v>0</v>
      </c>
      <c r="AB38" s="505">
        <v>1</v>
      </c>
      <c r="AC38" s="506">
        <f t="shared" si="12"/>
        <v>1.8</v>
      </c>
      <c r="AD38" s="507" t="s">
        <v>430</v>
      </c>
    </row>
    <row r="39" spans="1:30" ht="13.5" thickBot="1" x14ac:dyDescent="0.25">
      <c r="A39" s="502" t="s">
        <v>437</v>
      </c>
      <c r="B39" s="508"/>
      <c r="C39" s="504">
        <v>100</v>
      </c>
      <c r="D39" s="505">
        <v>14</v>
      </c>
      <c r="E39" s="506">
        <f t="shared" si="0"/>
        <v>0</v>
      </c>
      <c r="F39" s="505">
        <v>1.5</v>
      </c>
      <c r="G39" s="506">
        <f t="shared" si="1"/>
        <v>0</v>
      </c>
      <c r="H39" s="505">
        <v>9.2200000000000006</v>
      </c>
      <c r="I39" s="506">
        <f t="shared" si="2"/>
        <v>0</v>
      </c>
      <c r="J39" s="505">
        <v>1.1000000000000001</v>
      </c>
      <c r="K39" s="506">
        <f t="shared" si="3"/>
        <v>0</v>
      </c>
      <c r="L39" s="505">
        <v>19</v>
      </c>
      <c r="M39" s="506">
        <f t="shared" si="4"/>
        <v>0</v>
      </c>
      <c r="N39" s="505">
        <v>236</v>
      </c>
      <c r="O39" s="506">
        <f t="shared" si="13"/>
        <v>0</v>
      </c>
      <c r="P39" s="505">
        <v>180</v>
      </c>
      <c r="Q39" s="506">
        <f t="shared" si="6"/>
        <v>0</v>
      </c>
      <c r="R39" s="505">
        <v>0.19</v>
      </c>
      <c r="S39" s="506">
        <f t="shared" si="7"/>
        <v>0</v>
      </c>
      <c r="T39" s="505">
        <v>0.43</v>
      </c>
      <c r="U39" s="506">
        <f t="shared" si="8"/>
        <v>0</v>
      </c>
      <c r="V39" s="505">
        <v>3.6</v>
      </c>
      <c r="W39" s="506">
        <f t="shared" si="9"/>
        <v>0</v>
      </c>
      <c r="X39" s="505">
        <v>0.08</v>
      </c>
      <c r="Y39" s="506">
        <f t="shared" si="10"/>
        <v>0</v>
      </c>
      <c r="Z39" s="505">
        <v>0</v>
      </c>
      <c r="AA39" s="506">
        <f t="shared" si="11"/>
        <v>0</v>
      </c>
      <c r="AB39" s="505">
        <v>2</v>
      </c>
      <c r="AC39" s="506">
        <f t="shared" si="12"/>
        <v>0</v>
      </c>
      <c r="AD39" s="507" t="s">
        <v>438</v>
      </c>
    </row>
    <row r="40" spans="1:30" ht="13.5" thickBot="1" x14ac:dyDescent="0.25">
      <c r="A40" s="502" t="s">
        <v>439</v>
      </c>
      <c r="B40" s="508"/>
      <c r="C40" s="504">
        <v>100</v>
      </c>
      <c r="D40" s="505">
        <v>19</v>
      </c>
      <c r="E40" s="506">
        <f t="shared" si="0"/>
        <v>0</v>
      </c>
      <c r="F40" s="505">
        <v>0.9</v>
      </c>
      <c r="G40" s="506">
        <f t="shared" si="1"/>
        <v>0</v>
      </c>
      <c r="H40" s="505">
        <v>5.0999999999999996</v>
      </c>
      <c r="I40" s="506">
        <f t="shared" si="2"/>
        <v>0</v>
      </c>
      <c r="J40" s="505">
        <v>1.9</v>
      </c>
      <c r="K40" s="506">
        <f t="shared" si="3"/>
        <v>0</v>
      </c>
      <c r="L40" s="505">
        <v>17</v>
      </c>
      <c r="M40" s="506">
        <f t="shared" si="4"/>
        <v>0</v>
      </c>
      <c r="N40" s="505">
        <v>608</v>
      </c>
      <c r="O40" s="506">
        <f t="shared" si="13"/>
        <v>0</v>
      </c>
      <c r="P40" s="505">
        <v>250</v>
      </c>
      <c r="Q40" s="506">
        <f t="shared" si="6"/>
        <v>0</v>
      </c>
      <c r="R40" s="505">
        <v>0.4</v>
      </c>
      <c r="S40" s="506">
        <f t="shared" si="7"/>
        <v>0</v>
      </c>
      <c r="T40" s="505">
        <v>0.15</v>
      </c>
      <c r="U40" s="506">
        <f t="shared" si="8"/>
        <v>0</v>
      </c>
      <c r="V40" s="505">
        <v>3.2</v>
      </c>
      <c r="W40" s="506">
        <f t="shared" si="9"/>
        <v>0</v>
      </c>
      <c r="X40" s="505">
        <v>0.22</v>
      </c>
      <c r="Y40" s="506">
        <f t="shared" si="10"/>
        <v>0</v>
      </c>
      <c r="Z40" s="505">
        <v>0</v>
      </c>
      <c r="AA40" s="506">
        <f t="shared" si="11"/>
        <v>0</v>
      </c>
      <c r="AB40" s="505">
        <v>2</v>
      </c>
      <c r="AC40" s="506">
        <f t="shared" si="12"/>
        <v>0</v>
      </c>
      <c r="AD40" s="507" t="s">
        <v>438</v>
      </c>
    </row>
    <row r="41" spans="1:30" ht="13.5" thickBot="1" x14ac:dyDescent="0.25">
      <c r="A41" s="502" t="s">
        <v>440</v>
      </c>
      <c r="B41" s="508"/>
      <c r="C41" s="504">
        <v>100</v>
      </c>
      <c r="D41" s="505">
        <v>22</v>
      </c>
      <c r="E41" s="506">
        <f t="shared" si="0"/>
        <v>0</v>
      </c>
      <c r="F41" s="505">
        <v>0</v>
      </c>
      <c r="G41" s="506">
        <f t="shared" si="1"/>
        <v>0</v>
      </c>
      <c r="H41" s="505">
        <v>10.25</v>
      </c>
      <c r="I41" s="506">
        <f t="shared" si="2"/>
        <v>0</v>
      </c>
      <c r="J41" s="505">
        <v>1.2</v>
      </c>
      <c r="K41" s="506">
        <f t="shared" si="3"/>
        <v>0</v>
      </c>
      <c r="L41" s="505">
        <v>20</v>
      </c>
      <c r="M41" s="506">
        <f t="shared" si="4"/>
        <v>0</v>
      </c>
      <c r="N41" s="505">
        <v>281</v>
      </c>
      <c r="O41" s="506">
        <f t="shared" si="13"/>
        <v>0</v>
      </c>
      <c r="P41" s="505">
        <v>177</v>
      </c>
      <c r="Q41" s="506">
        <f t="shared" si="6"/>
        <v>0</v>
      </c>
      <c r="R41" s="505">
        <v>0.91</v>
      </c>
      <c r="S41" s="506">
        <f t="shared" si="7"/>
        <v>0</v>
      </c>
      <c r="T41" s="505">
        <v>0.26</v>
      </c>
      <c r="U41" s="506">
        <f t="shared" si="8"/>
        <v>0</v>
      </c>
      <c r="V41" s="505">
        <v>5</v>
      </c>
      <c r="W41" s="506">
        <f t="shared" si="9"/>
        <v>0</v>
      </c>
      <c r="X41" s="505">
        <v>0.62</v>
      </c>
      <c r="Y41" s="506">
        <f t="shared" si="10"/>
        <v>0</v>
      </c>
      <c r="Z41" s="505">
        <v>0</v>
      </c>
      <c r="AA41" s="506">
        <f t="shared" si="11"/>
        <v>0</v>
      </c>
      <c r="AB41" s="505">
        <v>0</v>
      </c>
      <c r="AC41" s="506">
        <f t="shared" si="12"/>
        <v>0</v>
      </c>
      <c r="AD41" s="507" t="s">
        <v>438</v>
      </c>
    </row>
    <row r="42" spans="1:30" ht="13.5" thickBot="1" x14ac:dyDescent="0.25">
      <c r="A42" s="502" t="s">
        <v>441</v>
      </c>
      <c r="B42" s="508"/>
      <c r="C42" s="504">
        <v>97</v>
      </c>
      <c r="D42" s="505">
        <v>22</v>
      </c>
      <c r="E42" s="506">
        <f t="shared" si="0"/>
        <v>0</v>
      </c>
      <c r="F42" s="505">
        <v>0</v>
      </c>
      <c r="G42" s="506">
        <f t="shared" si="1"/>
        <v>0</v>
      </c>
      <c r="H42" s="505">
        <v>13.6</v>
      </c>
      <c r="I42" s="506">
        <f t="shared" si="2"/>
        <v>0</v>
      </c>
      <c r="J42" s="505">
        <v>2.4</v>
      </c>
      <c r="K42" s="506">
        <f t="shared" si="3"/>
        <v>0</v>
      </c>
      <c r="L42" s="505">
        <v>21</v>
      </c>
      <c r="M42" s="506">
        <f t="shared" si="4"/>
        <v>0</v>
      </c>
      <c r="N42" s="505">
        <v>160</v>
      </c>
      <c r="O42" s="506">
        <f t="shared" si="13"/>
        <v>0</v>
      </c>
      <c r="P42" s="505">
        <v>246</v>
      </c>
      <c r="Q42" s="506">
        <f t="shared" si="6"/>
        <v>0</v>
      </c>
      <c r="R42" s="505">
        <v>0.32</v>
      </c>
      <c r="S42" s="506">
        <f t="shared" si="7"/>
        <v>0</v>
      </c>
      <c r="T42" s="505">
        <v>0.2</v>
      </c>
      <c r="U42" s="506">
        <f t="shared" si="8"/>
        <v>0</v>
      </c>
      <c r="V42" s="505">
        <v>5</v>
      </c>
      <c r="W42" s="506">
        <f t="shared" si="9"/>
        <v>0</v>
      </c>
      <c r="X42" s="505">
        <v>0.15</v>
      </c>
      <c r="Y42" s="506">
        <f t="shared" si="10"/>
        <v>0</v>
      </c>
      <c r="Z42" s="505">
        <v>0</v>
      </c>
      <c r="AA42" s="506">
        <f t="shared" si="11"/>
        <v>0</v>
      </c>
      <c r="AB42" s="505">
        <v>2</v>
      </c>
      <c r="AC42" s="506">
        <f t="shared" si="12"/>
        <v>0</v>
      </c>
      <c r="AD42" s="507" t="s">
        <v>438</v>
      </c>
    </row>
    <row r="43" spans="1:30" ht="13.5" thickBot="1" x14ac:dyDescent="0.25">
      <c r="A43" s="502" t="s">
        <v>442</v>
      </c>
      <c r="B43" s="508"/>
      <c r="C43" s="504">
        <v>100</v>
      </c>
      <c r="D43" s="505">
        <v>15</v>
      </c>
      <c r="E43" s="506">
        <f t="shared" si="0"/>
        <v>0</v>
      </c>
      <c r="F43" s="505">
        <v>0.6</v>
      </c>
      <c r="G43" s="506">
        <f t="shared" si="1"/>
        <v>0</v>
      </c>
      <c r="H43" s="505">
        <v>12.22</v>
      </c>
      <c r="I43" s="506">
        <f t="shared" si="2"/>
        <v>0</v>
      </c>
      <c r="J43" s="505">
        <v>2.8</v>
      </c>
      <c r="K43" s="506">
        <f t="shared" si="3"/>
        <v>0</v>
      </c>
      <c r="L43" s="505">
        <v>20</v>
      </c>
      <c r="M43" s="506">
        <f t="shared" si="4"/>
        <v>0</v>
      </c>
      <c r="N43" s="505">
        <v>200</v>
      </c>
      <c r="O43" s="506">
        <f t="shared" si="13"/>
        <v>200</v>
      </c>
      <c r="P43" s="505">
        <v>173</v>
      </c>
      <c r="Q43" s="506">
        <f t="shared" si="6"/>
        <v>0</v>
      </c>
      <c r="R43" s="505">
        <v>0.34</v>
      </c>
      <c r="S43" s="506">
        <f t="shared" si="7"/>
        <v>0</v>
      </c>
      <c r="T43" s="505">
        <v>0.03</v>
      </c>
      <c r="U43" s="506">
        <f t="shared" si="8"/>
        <v>0</v>
      </c>
      <c r="V43" s="505">
        <v>4</v>
      </c>
      <c r="W43" s="506">
        <f t="shared" si="9"/>
        <v>0</v>
      </c>
      <c r="X43" s="505">
        <v>7.0000000000000007E-2</v>
      </c>
      <c r="Y43" s="506">
        <f t="shared" si="10"/>
        <v>0</v>
      </c>
      <c r="Z43" s="505">
        <v>0</v>
      </c>
      <c r="AA43" s="506">
        <f t="shared" si="11"/>
        <v>0</v>
      </c>
      <c r="AB43" s="505">
        <v>2</v>
      </c>
      <c r="AC43" s="506">
        <f t="shared" si="12"/>
        <v>0</v>
      </c>
      <c r="AD43" s="507" t="s">
        <v>438</v>
      </c>
    </row>
    <row r="44" spans="1:30" ht="13.5" thickBot="1" x14ac:dyDescent="0.25">
      <c r="A44" s="502" t="s">
        <v>443</v>
      </c>
      <c r="B44" s="508">
        <v>100</v>
      </c>
      <c r="C44" s="504">
        <v>100</v>
      </c>
      <c r="D44" s="505">
        <v>28</v>
      </c>
      <c r="E44" s="506">
        <f t="shared" si="0"/>
        <v>28</v>
      </c>
      <c r="F44" s="505">
        <v>0.5</v>
      </c>
      <c r="G44" s="506">
        <f t="shared" si="1"/>
        <v>0.5</v>
      </c>
      <c r="H44" s="505">
        <v>5.72</v>
      </c>
      <c r="I44" s="506">
        <f t="shared" si="2"/>
        <v>5.72</v>
      </c>
      <c r="J44" s="505">
        <v>1.8</v>
      </c>
      <c r="K44" s="506">
        <f t="shared" si="3"/>
        <v>1.8</v>
      </c>
      <c r="L44" s="505">
        <v>19</v>
      </c>
      <c r="M44" s="506">
        <f t="shared" si="4"/>
        <v>19</v>
      </c>
      <c r="N44" s="505">
        <v>855</v>
      </c>
      <c r="O44" s="506">
        <f t="shared" si="13"/>
        <v>684</v>
      </c>
      <c r="P44" s="505">
        <v>170</v>
      </c>
      <c r="Q44" s="506">
        <f t="shared" si="6"/>
        <v>170</v>
      </c>
      <c r="R44" s="505">
        <v>0.14000000000000001</v>
      </c>
      <c r="S44" s="506">
        <f t="shared" si="7"/>
        <v>0.14000000000000001</v>
      </c>
      <c r="T44" s="505">
        <v>0.14000000000000001</v>
      </c>
      <c r="U44" s="506">
        <f t="shared" si="8"/>
        <v>0.14000000000000001</v>
      </c>
      <c r="V44" s="505">
        <v>1.1000000000000001</v>
      </c>
      <c r="W44" s="506">
        <f t="shared" si="9"/>
        <v>1.1000000000000001</v>
      </c>
      <c r="X44" s="505">
        <v>0.62</v>
      </c>
      <c r="Y44" s="506">
        <f t="shared" si="10"/>
        <v>0.62</v>
      </c>
      <c r="Z44" s="505">
        <v>0</v>
      </c>
      <c r="AA44" s="506">
        <f t="shared" si="11"/>
        <v>0</v>
      </c>
      <c r="AB44" s="505">
        <v>0</v>
      </c>
      <c r="AC44" s="506">
        <f t="shared" si="12"/>
        <v>0</v>
      </c>
      <c r="AD44" s="507" t="s">
        <v>438</v>
      </c>
    </row>
    <row r="45" spans="1:30" ht="13.5" thickBot="1" x14ac:dyDescent="0.25">
      <c r="A45" s="502" t="s">
        <v>444</v>
      </c>
      <c r="B45" s="508">
        <v>80</v>
      </c>
      <c r="C45" s="504">
        <v>100</v>
      </c>
      <c r="D45" s="505">
        <v>17</v>
      </c>
      <c r="E45" s="506">
        <f t="shared" si="0"/>
        <v>13.6</v>
      </c>
      <c r="F45" s="505">
        <v>0</v>
      </c>
      <c r="G45" s="506">
        <f t="shared" si="1"/>
        <v>0</v>
      </c>
      <c r="H45" s="505">
        <v>10.11</v>
      </c>
      <c r="I45" s="506">
        <f t="shared" si="2"/>
        <v>8.0879999999999992</v>
      </c>
      <c r="J45" s="505">
        <v>1.4</v>
      </c>
      <c r="K45" s="506">
        <f t="shared" si="3"/>
        <v>1.1200000000000001</v>
      </c>
      <c r="L45" s="505">
        <v>7</v>
      </c>
      <c r="M45" s="506">
        <f t="shared" si="4"/>
        <v>5.6</v>
      </c>
      <c r="N45" s="505">
        <v>300</v>
      </c>
      <c r="O45" s="506">
        <f t="shared" si="13"/>
        <v>0</v>
      </c>
      <c r="P45" s="505">
        <v>158</v>
      </c>
      <c r="Q45" s="506">
        <f t="shared" si="6"/>
        <v>126.4</v>
      </c>
      <c r="R45" s="505">
        <v>0.38</v>
      </c>
      <c r="S45" s="506">
        <f t="shared" si="7"/>
        <v>0.30399999999999999</v>
      </c>
      <c r="T45" s="505">
        <v>0.1</v>
      </c>
      <c r="U45" s="506">
        <f t="shared" si="8"/>
        <v>0.08</v>
      </c>
      <c r="V45" s="505">
        <v>4</v>
      </c>
      <c r="W45" s="506">
        <f t="shared" si="9"/>
        <v>3.2</v>
      </c>
      <c r="X45" s="505">
        <v>0.62</v>
      </c>
      <c r="Y45" s="506">
        <f t="shared" si="10"/>
        <v>0.496</v>
      </c>
      <c r="Z45" s="505">
        <v>0</v>
      </c>
      <c r="AA45" s="506">
        <f t="shared" si="11"/>
        <v>0</v>
      </c>
      <c r="AB45" s="505">
        <v>0</v>
      </c>
      <c r="AC45" s="506">
        <f t="shared" si="12"/>
        <v>0</v>
      </c>
      <c r="AD45" s="507" t="s">
        <v>438</v>
      </c>
    </row>
    <row r="46" spans="1:30" ht="13.5" thickBot="1" x14ac:dyDescent="0.25">
      <c r="A46" s="502" t="s">
        <v>445</v>
      </c>
      <c r="B46" s="508"/>
      <c r="C46" s="504">
        <v>100</v>
      </c>
      <c r="D46" s="505">
        <v>13</v>
      </c>
      <c r="E46" s="506">
        <f t="shared" si="0"/>
        <v>0</v>
      </c>
      <c r="F46" s="505">
        <v>1.4</v>
      </c>
      <c r="G46" s="506">
        <f t="shared" si="1"/>
        <v>0</v>
      </c>
      <c r="H46" s="505">
        <v>6.94</v>
      </c>
      <c r="I46" s="506">
        <f t="shared" si="2"/>
        <v>0</v>
      </c>
      <c r="J46" s="505">
        <v>1.5</v>
      </c>
      <c r="K46" s="506">
        <f t="shared" si="3"/>
        <v>0</v>
      </c>
      <c r="L46" s="505">
        <v>33</v>
      </c>
      <c r="M46" s="506">
        <f t="shared" si="4"/>
        <v>0</v>
      </c>
      <c r="N46" s="505">
        <v>338</v>
      </c>
      <c r="O46" s="506">
        <f t="shared" si="13"/>
        <v>0</v>
      </c>
      <c r="P46" s="505">
        <v>130</v>
      </c>
      <c r="Q46" s="506">
        <f t="shared" si="6"/>
        <v>0</v>
      </c>
      <c r="R46" s="505">
        <v>0.15</v>
      </c>
      <c r="S46" s="506">
        <f t="shared" si="7"/>
        <v>0</v>
      </c>
      <c r="T46" s="505">
        <v>0.3</v>
      </c>
      <c r="U46" s="506">
        <f t="shared" si="8"/>
        <v>0</v>
      </c>
      <c r="V46" s="505">
        <v>2.7</v>
      </c>
      <c r="W46" s="506">
        <f t="shared" si="9"/>
        <v>0</v>
      </c>
      <c r="X46" s="505">
        <v>0.03</v>
      </c>
      <c r="Y46" s="506">
        <f t="shared" si="10"/>
        <v>0</v>
      </c>
      <c r="Z46" s="505">
        <v>0</v>
      </c>
      <c r="AA46" s="506">
        <f t="shared" si="11"/>
        <v>0</v>
      </c>
      <c r="AB46" s="505">
        <v>2</v>
      </c>
      <c r="AC46" s="506">
        <f t="shared" si="12"/>
        <v>0</v>
      </c>
      <c r="AD46" s="507" t="s">
        <v>438</v>
      </c>
    </row>
    <row r="47" spans="1:30" ht="13.5" thickBot="1" x14ac:dyDescent="0.25">
      <c r="A47" s="502" t="s">
        <v>446</v>
      </c>
      <c r="B47" s="508"/>
      <c r="C47" s="504">
        <v>100</v>
      </c>
      <c r="D47" s="505">
        <v>12</v>
      </c>
      <c r="E47" s="506">
        <f t="shared" si="0"/>
        <v>0</v>
      </c>
      <c r="F47" s="505">
        <v>6.8</v>
      </c>
      <c r="G47" s="506">
        <f t="shared" si="1"/>
        <v>0</v>
      </c>
      <c r="H47" s="505">
        <v>5.54</v>
      </c>
      <c r="I47" s="506">
        <f t="shared" si="2"/>
        <v>0</v>
      </c>
      <c r="J47" s="505">
        <v>2</v>
      </c>
      <c r="K47" s="506">
        <f t="shared" si="3"/>
        <v>0</v>
      </c>
      <c r="L47" s="505">
        <v>95</v>
      </c>
      <c r="M47" s="506">
        <f t="shared" si="4"/>
        <v>0</v>
      </c>
      <c r="N47" s="505">
        <v>84</v>
      </c>
      <c r="O47" s="506">
        <f t="shared" si="13"/>
        <v>0</v>
      </c>
      <c r="P47" s="505">
        <v>107</v>
      </c>
      <c r="Q47" s="506">
        <f t="shared" si="6"/>
        <v>0</v>
      </c>
      <c r="R47" s="505">
        <v>7.0000000000000007E-2</v>
      </c>
      <c r="S47" s="506">
        <f t="shared" si="7"/>
        <v>0</v>
      </c>
      <c r="T47" s="505">
        <v>0.12</v>
      </c>
      <c r="U47" s="506">
        <f t="shared" si="8"/>
        <v>0</v>
      </c>
      <c r="V47" s="505">
        <v>3.1</v>
      </c>
      <c r="W47" s="506">
        <f t="shared" si="9"/>
        <v>0</v>
      </c>
      <c r="X47" s="505">
        <v>0.32</v>
      </c>
      <c r="Y47" s="506">
        <f t="shared" si="10"/>
        <v>0</v>
      </c>
      <c r="Z47" s="505">
        <v>0</v>
      </c>
      <c r="AA47" s="506">
        <f t="shared" si="11"/>
        <v>0</v>
      </c>
      <c r="AB47" s="505">
        <v>0</v>
      </c>
      <c r="AC47" s="506">
        <f t="shared" si="12"/>
        <v>0</v>
      </c>
      <c r="AD47" s="507" t="s">
        <v>438</v>
      </c>
    </row>
    <row r="48" spans="1:30" ht="13.5" thickBot="1" x14ac:dyDescent="0.25">
      <c r="A48" s="502" t="s">
        <v>447</v>
      </c>
      <c r="B48" s="508"/>
      <c r="C48" s="504">
        <v>100</v>
      </c>
      <c r="D48" s="505">
        <v>19</v>
      </c>
      <c r="E48" s="506">
        <f t="shared" si="0"/>
        <v>0</v>
      </c>
      <c r="F48" s="505">
        <v>0</v>
      </c>
      <c r="G48" s="506">
        <f t="shared" si="1"/>
        <v>0</v>
      </c>
      <c r="H48" s="505">
        <v>10.35</v>
      </c>
      <c r="I48" s="506">
        <f t="shared" si="2"/>
        <v>0</v>
      </c>
      <c r="J48" s="505">
        <v>2.1</v>
      </c>
      <c r="K48" s="506">
        <f t="shared" si="3"/>
        <v>0</v>
      </c>
      <c r="L48" s="505">
        <v>20</v>
      </c>
      <c r="M48" s="506">
        <f t="shared" si="4"/>
        <v>0</v>
      </c>
      <c r="N48" s="505">
        <v>186</v>
      </c>
      <c r="O48" s="506">
        <f t="shared" si="13"/>
        <v>0</v>
      </c>
      <c r="P48" s="505">
        <v>170</v>
      </c>
      <c r="Q48" s="506">
        <f t="shared" si="6"/>
        <v>0</v>
      </c>
      <c r="R48" s="505">
        <v>0.26</v>
      </c>
      <c r="S48" s="506">
        <f t="shared" si="7"/>
        <v>0</v>
      </c>
      <c r="T48" s="505">
        <v>0.21</v>
      </c>
      <c r="U48" s="506">
        <f t="shared" si="8"/>
        <v>0</v>
      </c>
      <c r="V48" s="505">
        <v>3</v>
      </c>
      <c r="W48" s="506">
        <f t="shared" si="9"/>
        <v>0</v>
      </c>
      <c r="X48" s="505">
        <v>0.14000000000000001</v>
      </c>
      <c r="Y48" s="506">
        <f t="shared" si="10"/>
        <v>0</v>
      </c>
      <c r="Z48" s="505">
        <v>0</v>
      </c>
      <c r="AA48" s="506">
        <f t="shared" si="11"/>
        <v>0</v>
      </c>
      <c r="AB48" s="505">
        <v>0</v>
      </c>
      <c r="AC48" s="506">
        <f t="shared" si="12"/>
        <v>0</v>
      </c>
      <c r="AD48" s="507" t="s">
        <v>438</v>
      </c>
    </row>
    <row r="49" spans="1:30" ht="13.5" thickBot="1" x14ac:dyDescent="0.25">
      <c r="A49" s="502" t="s">
        <v>448</v>
      </c>
      <c r="B49" s="508"/>
      <c r="C49" s="504">
        <v>75</v>
      </c>
      <c r="D49" s="505">
        <v>16</v>
      </c>
      <c r="E49" s="506">
        <f t="shared" si="0"/>
        <v>0</v>
      </c>
      <c r="F49" s="505">
        <v>1.5</v>
      </c>
      <c r="G49" s="506">
        <f t="shared" si="1"/>
        <v>0</v>
      </c>
      <c r="H49" s="505">
        <v>0.69</v>
      </c>
      <c r="I49" s="506">
        <f t="shared" si="2"/>
        <v>0</v>
      </c>
      <c r="J49" s="505">
        <v>2.8</v>
      </c>
      <c r="K49" s="506">
        <f t="shared" si="3"/>
        <v>0</v>
      </c>
      <c r="L49" s="505">
        <v>148</v>
      </c>
      <c r="M49" s="506">
        <f t="shared" si="4"/>
        <v>0</v>
      </c>
      <c r="N49" s="505">
        <v>278</v>
      </c>
      <c r="O49" s="506">
        <f t="shared" si="13"/>
        <v>0</v>
      </c>
      <c r="P49" s="505">
        <v>196</v>
      </c>
      <c r="Q49" s="506">
        <f t="shared" si="6"/>
        <v>0</v>
      </c>
      <c r="R49" s="505">
        <v>0.06</v>
      </c>
      <c r="S49" s="506">
        <f t="shared" si="7"/>
        <v>0</v>
      </c>
      <c r="T49" s="505">
        <v>0.26</v>
      </c>
      <c r="U49" s="506">
        <f t="shared" si="8"/>
        <v>0</v>
      </c>
      <c r="V49" s="505">
        <v>14</v>
      </c>
      <c r="W49" s="506">
        <f t="shared" si="9"/>
        <v>0</v>
      </c>
      <c r="X49" s="505">
        <v>0.14000000000000001</v>
      </c>
      <c r="Y49" s="506">
        <f t="shared" si="10"/>
        <v>0</v>
      </c>
      <c r="Z49" s="505">
        <v>0</v>
      </c>
      <c r="AA49" s="506">
        <f t="shared" si="11"/>
        <v>0</v>
      </c>
      <c r="AB49" s="505">
        <v>11</v>
      </c>
      <c r="AC49" s="506">
        <f t="shared" si="12"/>
        <v>0</v>
      </c>
      <c r="AD49" s="507" t="s">
        <v>449</v>
      </c>
    </row>
    <row r="50" spans="1:30" ht="13.5" thickBot="1" x14ac:dyDescent="0.25">
      <c r="A50" s="502" t="s">
        <v>450</v>
      </c>
      <c r="B50" s="508"/>
      <c r="C50" s="504">
        <v>100</v>
      </c>
      <c r="D50" s="505">
        <v>25</v>
      </c>
      <c r="E50" s="506">
        <f t="shared" si="0"/>
        <v>0</v>
      </c>
      <c r="F50" s="505">
        <v>0.2</v>
      </c>
      <c r="G50" s="506">
        <f t="shared" si="1"/>
        <v>0</v>
      </c>
      <c r="H50" s="505">
        <v>2.21</v>
      </c>
      <c r="I50" s="506">
        <f t="shared" si="2"/>
        <v>0</v>
      </c>
      <c r="J50" s="505">
        <v>1.3</v>
      </c>
      <c r="K50" s="506">
        <f t="shared" si="3"/>
        <v>0</v>
      </c>
      <c r="L50" s="505">
        <v>44</v>
      </c>
      <c r="M50" s="506">
        <f t="shared" si="4"/>
        <v>0</v>
      </c>
      <c r="N50" s="505">
        <v>700</v>
      </c>
      <c r="O50" s="506">
        <f t="shared" si="13"/>
        <v>0</v>
      </c>
      <c r="P50" s="505">
        <v>351</v>
      </c>
      <c r="Q50" s="506">
        <f t="shared" si="6"/>
        <v>0</v>
      </c>
      <c r="R50" s="505">
        <v>0.06</v>
      </c>
      <c r="S50" s="506">
        <f t="shared" si="7"/>
        <v>0</v>
      </c>
      <c r="T50" s="505">
        <v>0.2</v>
      </c>
      <c r="U50" s="506">
        <f t="shared" si="8"/>
        <v>0</v>
      </c>
      <c r="V50" s="505">
        <v>6.5</v>
      </c>
      <c r="W50" s="506">
        <f t="shared" si="9"/>
        <v>0</v>
      </c>
      <c r="X50" s="505">
        <v>0.18</v>
      </c>
      <c r="Y50" s="506">
        <f t="shared" si="10"/>
        <v>0</v>
      </c>
      <c r="Z50" s="505">
        <v>0</v>
      </c>
      <c r="AA50" s="506">
        <f t="shared" si="11"/>
        <v>0</v>
      </c>
      <c r="AB50" s="505">
        <v>5</v>
      </c>
      <c r="AC50" s="506">
        <f t="shared" si="12"/>
        <v>0</v>
      </c>
      <c r="AD50" s="507" t="s">
        <v>449</v>
      </c>
    </row>
    <row r="51" spans="1:30" ht="13.5" thickBot="1" x14ac:dyDescent="0.25">
      <c r="A51" s="502" t="s">
        <v>451</v>
      </c>
      <c r="B51" s="508"/>
      <c r="C51" s="504">
        <v>50</v>
      </c>
      <c r="D51" s="505">
        <v>18</v>
      </c>
      <c r="E51" s="506">
        <f t="shared" si="0"/>
        <v>0</v>
      </c>
      <c r="F51" s="505">
        <v>0</v>
      </c>
      <c r="G51" s="506">
        <f t="shared" si="1"/>
        <v>0</v>
      </c>
      <c r="H51" s="505">
        <v>1.37</v>
      </c>
      <c r="I51" s="506">
        <f t="shared" si="2"/>
        <v>0</v>
      </c>
      <c r="J51" s="505">
        <v>1</v>
      </c>
      <c r="K51" s="506">
        <f t="shared" si="3"/>
        <v>0</v>
      </c>
      <c r="L51" s="505">
        <v>34</v>
      </c>
      <c r="M51" s="506">
        <f t="shared" si="4"/>
        <v>0</v>
      </c>
      <c r="N51" s="505">
        <v>286</v>
      </c>
      <c r="O51" s="506">
        <f t="shared" si="13"/>
        <v>0</v>
      </c>
      <c r="P51" s="505">
        <v>220</v>
      </c>
      <c r="Q51" s="506">
        <f t="shared" si="6"/>
        <v>0</v>
      </c>
      <c r="R51" s="505">
        <v>7.0000000000000007E-2</v>
      </c>
      <c r="S51" s="506">
        <f t="shared" si="7"/>
        <v>0</v>
      </c>
      <c r="T51" s="505">
        <v>0.04</v>
      </c>
      <c r="U51" s="506">
        <f t="shared" si="8"/>
        <v>0</v>
      </c>
      <c r="V51" s="505">
        <v>1.5</v>
      </c>
      <c r="W51" s="506">
        <f t="shared" si="9"/>
        <v>0</v>
      </c>
      <c r="X51" s="505">
        <v>0.22</v>
      </c>
      <c r="Y51" s="506">
        <f t="shared" si="10"/>
        <v>0</v>
      </c>
      <c r="Z51" s="505">
        <v>1</v>
      </c>
      <c r="AA51" s="506">
        <f t="shared" si="11"/>
        <v>0</v>
      </c>
      <c r="AB51" s="505">
        <v>10</v>
      </c>
      <c r="AC51" s="506">
        <f t="shared" si="12"/>
        <v>0</v>
      </c>
      <c r="AD51" s="507" t="s">
        <v>449</v>
      </c>
    </row>
    <row r="52" spans="1:30" ht="13.5" thickBot="1" x14ac:dyDescent="0.25">
      <c r="A52" s="502" t="s">
        <v>452</v>
      </c>
      <c r="B52" s="508"/>
      <c r="C52" s="504">
        <v>32</v>
      </c>
      <c r="D52" s="505">
        <v>11</v>
      </c>
      <c r="E52" s="506">
        <f t="shared" si="0"/>
        <v>0</v>
      </c>
      <c r="F52" s="505">
        <v>2</v>
      </c>
      <c r="G52" s="506">
        <f t="shared" si="1"/>
        <v>0</v>
      </c>
      <c r="H52" s="505">
        <v>0.52</v>
      </c>
      <c r="I52" s="506">
        <f t="shared" si="2"/>
        <v>0</v>
      </c>
      <c r="J52" s="505">
        <v>5.8</v>
      </c>
      <c r="K52" s="506">
        <f t="shared" si="3"/>
        <v>0</v>
      </c>
      <c r="L52" s="505">
        <v>88</v>
      </c>
      <c r="M52" s="506">
        <f t="shared" si="4"/>
        <v>0</v>
      </c>
      <c r="N52" s="505">
        <v>320</v>
      </c>
      <c r="O52" s="506">
        <f t="shared" si="13"/>
        <v>0</v>
      </c>
      <c r="P52" s="505">
        <v>236</v>
      </c>
      <c r="Q52" s="506">
        <f t="shared" si="6"/>
        <v>0</v>
      </c>
      <c r="R52" s="505">
        <v>0.12</v>
      </c>
      <c r="S52" s="506">
        <f t="shared" si="7"/>
        <v>0</v>
      </c>
      <c r="T52" s="505">
        <v>0.16</v>
      </c>
      <c r="U52" s="506">
        <f t="shared" si="8"/>
        <v>0</v>
      </c>
      <c r="V52" s="505">
        <v>1.6</v>
      </c>
      <c r="W52" s="506">
        <f t="shared" si="9"/>
        <v>0</v>
      </c>
      <c r="X52" s="505">
        <v>0.08</v>
      </c>
      <c r="Y52" s="506">
        <f t="shared" si="10"/>
        <v>0</v>
      </c>
      <c r="Z52" s="505">
        <v>2</v>
      </c>
      <c r="AA52" s="506">
        <f t="shared" si="11"/>
        <v>0</v>
      </c>
      <c r="AB52" s="505">
        <v>2</v>
      </c>
      <c r="AC52" s="506">
        <f t="shared" si="12"/>
        <v>0</v>
      </c>
      <c r="AD52" s="507" t="s">
        <v>449</v>
      </c>
    </row>
    <row r="53" spans="1:30" ht="13.5" thickBot="1" x14ac:dyDescent="0.25">
      <c r="A53" s="502" t="s">
        <v>453</v>
      </c>
      <c r="B53" s="508"/>
      <c r="C53" s="504">
        <v>100</v>
      </c>
      <c r="D53" s="505">
        <v>13</v>
      </c>
      <c r="E53" s="506">
        <f t="shared" si="0"/>
        <v>0</v>
      </c>
      <c r="F53" s="505">
        <v>2</v>
      </c>
      <c r="G53" s="506">
        <f t="shared" si="1"/>
        <v>0</v>
      </c>
      <c r="H53" s="505">
        <v>0.17</v>
      </c>
      <c r="I53" s="506">
        <f t="shared" si="2"/>
        <v>0</v>
      </c>
      <c r="J53" s="505">
        <v>2.4</v>
      </c>
      <c r="K53" s="506">
        <f t="shared" si="3"/>
        <v>0</v>
      </c>
      <c r="L53" s="505">
        <v>118</v>
      </c>
      <c r="M53" s="506">
        <f t="shared" si="4"/>
        <v>0</v>
      </c>
      <c r="N53" s="505">
        <v>68</v>
      </c>
      <c r="O53" s="506">
        <f t="shared" si="13"/>
        <v>0</v>
      </c>
      <c r="P53" s="505">
        <v>136</v>
      </c>
      <c r="Q53" s="506">
        <f t="shared" si="6"/>
        <v>0</v>
      </c>
      <c r="R53" s="505">
        <v>2</v>
      </c>
      <c r="S53" s="506">
        <f t="shared" si="7"/>
        <v>0</v>
      </c>
      <c r="T53" s="505">
        <v>0.02</v>
      </c>
      <c r="U53" s="506">
        <f t="shared" si="8"/>
        <v>0</v>
      </c>
      <c r="V53" s="505">
        <v>0.5</v>
      </c>
      <c r="W53" s="506">
        <f t="shared" si="9"/>
        <v>0</v>
      </c>
      <c r="X53" s="505">
        <v>7.0000000000000007E-2</v>
      </c>
      <c r="Y53" s="506">
        <f t="shared" si="10"/>
        <v>0</v>
      </c>
      <c r="Z53" s="505">
        <v>2</v>
      </c>
      <c r="AA53" s="506">
        <f t="shared" si="11"/>
        <v>0</v>
      </c>
      <c r="AB53" s="505">
        <v>2</v>
      </c>
      <c r="AC53" s="506">
        <f t="shared" si="12"/>
        <v>0</v>
      </c>
      <c r="AD53" s="507" t="s">
        <v>449</v>
      </c>
    </row>
    <row r="54" spans="1:30" ht="13.5" thickBot="1" x14ac:dyDescent="0.25">
      <c r="A54" s="502" t="s">
        <v>454</v>
      </c>
      <c r="B54" s="508"/>
      <c r="C54" s="504">
        <v>75</v>
      </c>
      <c r="D54" s="505">
        <v>17</v>
      </c>
      <c r="E54" s="506">
        <f t="shared" si="0"/>
        <v>0</v>
      </c>
      <c r="F54" s="505">
        <v>0</v>
      </c>
      <c r="G54" s="506">
        <f t="shared" si="1"/>
        <v>0</v>
      </c>
      <c r="H54" s="505">
        <v>0.11</v>
      </c>
      <c r="I54" s="506">
        <f t="shared" si="2"/>
        <v>0</v>
      </c>
      <c r="J54" s="505">
        <v>0.3</v>
      </c>
      <c r="K54" s="506">
        <f t="shared" si="3"/>
        <v>0</v>
      </c>
      <c r="L54" s="505">
        <v>32</v>
      </c>
      <c r="M54" s="506">
        <f t="shared" si="4"/>
        <v>0</v>
      </c>
      <c r="N54" s="505">
        <v>320</v>
      </c>
      <c r="O54" s="506">
        <f t="shared" si="13"/>
        <v>0</v>
      </c>
      <c r="P54" s="505">
        <v>188</v>
      </c>
      <c r="Q54" s="506">
        <f t="shared" si="6"/>
        <v>0</v>
      </c>
      <c r="R54" s="505">
        <v>0.03</v>
      </c>
      <c r="S54" s="506">
        <f t="shared" si="7"/>
        <v>0</v>
      </c>
      <c r="T54" s="505">
        <v>0.12</v>
      </c>
      <c r="U54" s="506">
        <f t="shared" si="8"/>
        <v>0</v>
      </c>
      <c r="V54" s="505">
        <v>1.2</v>
      </c>
      <c r="W54" s="506">
        <f t="shared" si="9"/>
        <v>0</v>
      </c>
      <c r="X54" s="505">
        <v>0.18</v>
      </c>
      <c r="Y54" s="506">
        <f t="shared" si="10"/>
        <v>0</v>
      </c>
      <c r="Z54" s="505">
        <v>0</v>
      </c>
      <c r="AA54" s="506">
        <f t="shared" si="11"/>
        <v>0</v>
      </c>
      <c r="AB54" s="505">
        <v>2</v>
      </c>
      <c r="AC54" s="506">
        <f t="shared" si="12"/>
        <v>0</v>
      </c>
      <c r="AD54" s="507" t="s">
        <v>449</v>
      </c>
    </row>
    <row r="55" spans="1:30" ht="13.5" thickBot="1" x14ac:dyDescent="0.25">
      <c r="A55" s="502" t="s">
        <v>455</v>
      </c>
      <c r="B55" s="508"/>
      <c r="C55" s="504">
        <v>69</v>
      </c>
      <c r="D55" s="505">
        <v>19</v>
      </c>
      <c r="E55" s="506">
        <f t="shared" si="0"/>
        <v>0</v>
      </c>
      <c r="F55" s="505">
        <v>0</v>
      </c>
      <c r="G55" s="506">
        <f t="shared" si="1"/>
        <v>0</v>
      </c>
      <c r="H55" s="505">
        <v>0.15</v>
      </c>
      <c r="I55" s="506">
        <f t="shared" si="2"/>
        <v>0</v>
      </c>
      <c r="J55" s="505">
        <v>0.4</v>
      </c>
      <c r="K55" s="506">
        <f t="shared" si="3"/>
        <v>0</v>
      </c>
      <c r="L55" s="505">
        <v>12</v>
      </c>
      <c r="M55" s="506">
        <f t="shared" si="4"/>
        <v>0</v>
      </c>
      <c r="N55" s="505">
        <v>309</v>
      </c>
      <c r="O55" s="506">
        <f t="shared" si="13"/>
        <v>0</v>
      </c>
      <c r="P55" s="505">
        <v>125</v>
      </c>
      <c r="Q55" s="506">
        <f t="shared" si="6"/>
        <v>0</v>
      </c>
      <c r="R55" s="505">
        <v>0.04</v>
      </c>
      <c r="S55" s="506">
        <f t="shared" si="7"/>
        <v>0</v>
      </c>
      <c r="T55" s="505">
        <v>0.14000000000000001</v>
      </c>
      <c r="U55" s="506">
        <f t="shared" si="8"/>
        <v>0</v>
      </c>
      <c r="V55" s="505">
        <v>4.3</v>
      </c>
      <c r="W55" s="506">
        <f t="shared" si="9"/>
        <v>0</v>
      </c>
      <c r="X55" s="505">
        <v>0.19</v>
      </c>
      <c r="Y55" s="506">
        <f t="shared" si="10"/>
        <v>0</v>
      </c>
      <c r="Z55" s="505">
        <v>0</v>
      </c>
      <c r="AA55" s="506">
        <f t="shared" si="11"/>
        <v>0</v>
      </c>
      <c r="AB55" s="505">
        <v>2</v>
      </c>
      <c r="AC55" s="506">
        <f t="shared" si="12"/>
        <v>0</v>
      </c>
      <c r="AD55" s="507" t="s">
        <v>449</v>
      </c>
    </row>
    <row r="56" spans="1:30" ht="13.5" thickBot="1" x14ac:dyDescent="0.25">
      <c r="A56" s="502" t="s">
        <v>456</v>
      </c>
      <c r="B56" s="508"/>
      <c r="C56" s="504">
        <v>100</v>
      </c>
      <c r="D56" s="505">
        <v>12</v>
      </c>
      <c r="E56" s="506">
        <f t="shared" si="0"/>
        <v>0</v>
      </c>
      <c r="F56" s="505">
        <v>2</v>
      </c>
      <c r="G56" s="506">
        <f t="shared" si="1"/>
        <v>0</v>
      </c>
      <c r="H56" s="505">
        <v>0.05</v>
      </c>
      <c r="I56" s="506">
        <f t="shared" si="2"/>
        <v>0</v>
      </c>
      <c r="J56" s="505">
        <v>0</v>
      </c>
      <c r="K56" s="506">
        <f t="shared" si="3"/>
        <v>0</v>
      </c>
      <c r="L56" s="505">
        <v>144</v>
      </c>
      <c r="M56" s="506">
        <f t="shared" si="4"/>
        <v>0</v>
      </c>
      <c r="N56" s="505">
        <v>350</v>
      </c>
      <c r="O56" s="506">
        <f t="shared" si="13"/>
        <v>0</v>
      </c>
      <c r="P56" s="505">
        <v>189</v>
      </c>
      <c r="Q56" s="506">
        <f t="shared" si="6"/>
        <v>0</v>
      </c>
      <c r="R56" s="505">
        <v>0.03</v>
      </c>
      <c r="S56" s="506">
        <f t="shared" si="7"/>
        <v>0</v>
      </c>
      <c r="T56" s="505">
        <v>0.04</v>
      </c>
      <c r="U56" s="506">
        <f t="shared" si="8"/>
        <v>0</v>
      </c>
      <c r="V56" s="505">
        <v>2.1</v>
      </c>
      <c r="W56" s="506">
        <f t="shared" si="9"/>
        <v>0</v>
      </c>
      <c r="X56" s="505">
        <v>0.36</v>
      </c>
      <c r="Y56" s="506">
        <f t="shared" si="10"/>
        <v>0</v>
      </c>
      <c r="Z56" s="505">
        <v>0</v>
      </c>
      <c r="AA56" s="506">
        <f t="shared" si="11"/>
        <v>0</v>
      </c>
      <c r="AB56" s="505">
        <v>2</v>
      </c>
      <c r="AC56" s="506">
        <f t="shared" si="12"/>
        <v>0</v>
      </c>
      <c r="AD56" s="507" t="s">
        <v>449</v>
      </c>
    </row>
    <row r="57" spans="1:30" ht="13.5" thickBot="1" x14ac:dyDescent="0.25">
      <c r="A57" s="502" t="s">
        <v>457</v>
      </c>
      <c r="B57" s="508"/>
      <c r="C57" s="504">
        <v>79</v>
      </c>
      <c r="D57" s="505">
        <v>20</v>
      </c>
      <c r="E57" s="506">
        <f t="shared" si="0"/>
        <v>0</v>
      </c>
      <c r="F57" s="505">
        <v>0</v>
      </c>
      <c r="G57" s="506">
        <f t="shared" si="1"/>
        <v>0</v>
      </c>
      <c r="H57" s="505">
        <v>1.9</v>
      </c>
      <c r="I57" s="506">
        <f t="shared" si="2"/>
        <v>0</v>
      </c>
      <c r="J57" s="505">
        <v>0.4</v>
      </c>
      <c r="K57" s="506">
        <f t="shared" si="3"/>
        <v>0</v>
      </c>
      <c r="L57" s="505">
        <v>21</v>
      </c>
      <c r="M57" s="506">
        <f t="shared" si="4"/>
        <v>0</v>
      </c>
      <c r="N57" s="505">
        <v>360</v>
      </c>
      <c r="O57" s="506">
        <f t="shared" si="13"/>
        <v>0</v>
      </c>
      <c r="P57" s="505">
        <v>250</v>
      </c>
      <c r="Q57" s="506">
        <f t="shared" si="6"/>
        <v>0</v>
      </c>
      <c r="R57" s="505">
        <v>0.23</v>
      </c>
      <c r="S57" s="506">
        <f t="shared" si="7"/>
        <v>0</v>
      </c>
      <c r="T57" s="505">
        <v>0.13</v>
      </c>
      <c r="U57" s="506">
        <f t="shared" si="8"/>
        <v>0</v>
      </c>
      <c r="V57" s="505">
        <v>7.2</v>
      </c>
      <c r="W57" s="506">
        <f t="shared" si="9"/>
        <v>0</v>
      </c>
      <c r="X57" s="505">
        <v>0.75</v>
      </c>
      <c r="Y57" s="506">
        <f t="shared" si="10"/>
        <v>0</v>
      </c>
      <c r="Z57" s="505">
        <v>2</v>
      </c>
      <c r="AA57" s="506">
        <f t="shared" si="11"/>
        <v>0</v>
      </c>
      <c r="AB57" s="505">
        <v>8</v>
      </c>
      <c r="AC57" s="506">
        <f t="shared" si="12"/>
        <v>0</v>
      </c>
      <c r="AD57" s="507" t="s">
        <v>449</v>
      </c>
    </row>
    <row r="58" spans="1:30" ht="13.5" thickBot="1" x14ac:dyDescent="0.25">
      <c r="A58" s="502" t="s">
        <v>458</v>
      </c>
      <c r="B58" s="508"/>
      <c r="C58" s="504">
        <v>100</v>
      </c>
      <c r="D58" s="505">
        <v>25</v>
      </c>
      <c r="E58" s="506">
        <f t="shared" si="0"/>
        <v>0</v>
      </c>
      <c r="F58" s="505">
        <v>0</v>
      </c>
      <c r="G58" s="506">
        <f t="shared" si="1"/>
        <v>0</v>
      </c>
      <c r="H58" s="505">
        <v>0.78</v>
      </c>
      <c r="I58" s="506">
        <f t="shared" si="2"/>
        <v>0</v>
      </c>
      <c r="J58" s="505">
        <v>0.6</v>
      </c>
      <c r="K58" s="506">
        <f t="shared" si="3"/>
        <v>0</v>
      </c>
      <c r="L58" s="505">
        <v>19</v>
      </c>
      <c r="M58" s="506">
        <f t="shared" si="4"/>
        <v>0</v>
      </c>
      <c r="N58" s="505">
        <v>420</v>
      </c>
      <c r="O58" s="506">
        <f t="shared" si="13"/>
        <v>0</v>
      </c>
      <c r="P58" s="505">
        <v>250</v>
      </c>
      <c r="Q58" s="506">
        <f t="shared" si="6"/>
        <v>0</v>
      </c>
      <c r="R58" s="505">
        <v>0.16</v>
      </c>
      <c r="S58" s="506">
        <f t="shared" si="7"/>
        <v>0</v>
      </c>
      <c r="T58" s="505">
        <v>0.17</v>
      </c>
      <c r="U58" s="506">
        <f t="shared" si="8"/>
        <v>0</v>
      </c>
      <c r="V58" s="505">
        <v>8.8000000000000007</v>
      </c>
      <c r="W58" s="506">
        <f t="shared" si="9"/>
        <v>0</v>
      </c>
      <c r="X58" s="505">
        <v>0.28000000000000003</v>
      </c>
      <c r="Y58" s="506">
        <f t="shared" si="10"/>
        <v>0</v>
      </c>
      <c r="Z58" s="505">
        <v>2</v>
      </c>
      <c r="AA58" s="506">
        <f t="shared" si="11"/>
        <v>0</v>
      </c>
      <c r="AB58" s="505">
        <v>2</v>
      </c>
      <c r="AC58" s="506">
        <f t="shared" si="12"/>
        <v>0</v>
      </c>
      <c r="AD58" s="507" t="s">
        <v>449</v>
      </c>
    </row>
    <row r="59" spans="1:30" ht="13.5" thickBot="1" x14ac:dyDescent="0.25">
      <c r="A59" s="502" t="s">
        <v>459</v>
      </c>
      <c r="B59" s="508"/>
      <c r="C59" s="504">
        <v>98</v>
      </c>
      <c r="D59" s="505">
        <v>14</v>
      </c>
      <c r="E59" s="506">
        <f t="shared" si="0"/>
        <v>0</v>
      </c>
      <c r="F59" s="505">
        <v>2</v>
      </c>
      <c r="G59" s="506">
        <f t="shared" si="1"/>
        <v>0</v>
      </c>
      <c r="H59" s="505">
        <v>0.11</v>
      </c>
      <c r="I59" s="506">
        <f t="shared" si="2"/>
        <v>0</v>
      </c>
      <c r="J59" s="505">
        <v>0.8</v>
      </c>
      <c r="K59" s="506">
        <f t="shared" si="3"/>
        <v>0</v>
      </c>
      <c r="L59" s="505">
        <v>27</v>
      </c>
      <c r="M59" s="506">
        <f t="shared" si="4"/>
        <v>0</v>
      </c>
      <c r="N59" s="505">
        <v>273</v>
      </c>
      <c r="O59" s="506">
        <f t="shared" si="13"/>
        <v>0</v>
      </c>
      <c r="P59" s="505">
        <v>143</v>
      </c>
      <c r="Q59" s="506">
        <f t="shared" si="6"/>
        <v>0</v>
      </c>
      <c r="R59" s="505">
        <v>0.1</v>
      </c>
      <c r="S59" s="506">
        <f t="shared" si="7"/>
        <v>0</v>
      </c>
      <c r="T59" s="505">
        <v>0.04</v>
      </c>
      <c r="U59" s="506">
        <f t="shared" si="8"/>
        <v>0</v>
      </c>
      <c r="V59" s="505">
        <v>0.9</v>
      </c>
      <c r="W59" s="506">
        <f t="shared" si="9"/>
        <v>0</v>
      </c>
      <c r="X59" s="505">
        <v>0.39</v>
      </c>
      <c r="Y59" s="506">
        <f t="shared" si="10"/>
        <v>0</v>
      </c>
      <c r="Z59" s="505">
        <v>2</v>
      </c>
      <c r="AA59" s="506">
        <f t="shared" si="11"/>
        <v>0</v>
      </c>
      <c r="AB59" s="505">
        <v>2</v>
      </c>
      <c r="AC59" s="506">
        <f t="shared" si="12"/>
        <v>0</v>
      </c>
      <c r="AD59" s="507" t="s">
        <v>449</v>
      </c>
    </row>
    <row r="60" spans="1:30" ht="13.5" thickBot="1" x14ac:dyDescent="0.25">
      <c r="A60" s="502" t="s">
        <v>460</v>
      </c>
      <c r="B60" s="508"/>
      <c r="C60" s="504">
        <v>88</v>
      </c>
      <c r="D60" s="505">
        <v>25</v>
      </c>
      <c r="E60" s="506">
        <f t="shared" si="0"/>
        <v>0</v>
      </c>
      <c r="F60" s="505">
        <v>1</v>
      </c>
      <c r="G60" s="506">
        <f t="shared" si="1"/>
        <v>0</v>
      </c>
      <c r="H60" s="505">
        <v>2.31</v>
      </c>
      <c r="I60" s="506">
        <f t="shared" si="2"/>
        <v>0</v>
      </c>
      <c r="J60" s="505">
        <v>0.9</v>
      </c>
      <c r="K60" s="506">
        <f t="shared" si="3"/>
        <v>0</v>
      </c>
      <c r="L60" s="505">
        <v>32</v>
      </c>
      <c r="M60" s="506">
        <f t="shared" si="4"/>
        <v>0</v>
      </c>
      <c r="N60" s="505">
        <v>92</v>
      </c>
      <c r="O60" s="506">
        <f t="shared" si="13"/>
        <v>0</v>
      </c>
      <c r="P60" s="505">
        <v>280</v>
      </c>
      <c r="Q60" s="506">
        <f t="shared" si="6"/>
        <v>0</v>
      </c>
      <c r="R60" s="505">
        <v>0.15</v>
      </c>
      <c r="S60" s="506">
        <f t="shared" si="7"/>
        <v>0</v>
      </c>
      <c r="T60" s="505">
        <v>0.22</v>
      </c>
      <c r="U60" s="506">
        <f t="shared" si="8"/>
        <v>0</v>
      </c>
      <c r="V60" s="505">
        <v>6</v>
      </c>
      <c r="W60" s="506">
        <f t="shared" si="9"/>
        <v>0</v>
      </c>
      <c r="X60" s="505">
        <v>0.12</v>
      </c>
      <c r="Y60" s="506">
        <f t="shared" si="10"/>
        <v>0</v>
      </c>
      <c r="Z60" s="505">
        <v>0</v>
      </c>
      <c r="AA60" s="506">
        <f t="shared" si="11"/>
        <v>0</v>
      </c>
      <c r="AB60" s="505">
        <v>2</v>
      </c>
      <c r="AC60" s="506">
        <f t="shared" si="12"/>
        <v>0</v>
      </c>
      <c r="AD60" s="507" t="s">
        <v>449</v>
      </c>
    </row>
    <row r="61" spans="1:30" ht="13.5" thickBot="1" x14ac:dyDescent="0.25">
      <c r="A61" s="502" t="s">
        <v>461</v>
      </c>
      <c r="B61" s="508"/>
      <c r="C61" s="504">
        <v>48</v>
      </c>
      <c r="D61" s="505">
        <v>17</v>
      </c>
      <c r="E61" s="506">
        <f t="shared" si="0"/>
        <v>0</v>
      </c>
      <c r="F61" s="505">
        <v>0.8</v>
      </c>
      <c r="G61" s="506">
        <f t="shared" si="1"/>
        <v>0</v>
      </c>
      <c r="H61" s="505">
        <v>0.17</v>
      </c>
      <c r="I61" s="506">
        <f t="shared" si="2"/>
        <v>0</v>
      </c>
      <c r="J61" s="505">
        <v>0.4</v>
      </c>
      <c r="K61" s="506">
        <f t="shared" si="3"/>
        <v>0</v>
      </c>
      <c r="L61" s="505">
        <v>11</v>
      </c>
      <c r="M61" s="506">
        <f t="shared" si="4"/>
        <v>0</v>
      </c>
      <c r="N61" s="505">
        <v>280</v>
      </c>
      <c r="O61" s="506">
        <f t="shared" si="13"/>
        <v>0</v>
      </c>
      <c r="P61" s="505">
        <v>174</v>
      </c>
      <c r="Q61" s="506">
        <f t="shared" si="6"/>
        <v>0</v>
      </c>
      <c r="R61" s="505">
        <v>0.08</v>
      </c>
      <c r="S61" s="506">
        <f t="shared" si="7"/>
        <v>0</v>
      </c>
      <c r="T61" s="505">
        <v>0.12</v>
      </c>
      <c r="U61" s="506">
        <f t="shared" si="8"/>
        <v>0</v>
      </c>
      <c r="V61" s="505">
        <v>3.8</v>
      </c>
      <c r="W61" s="506">
        <f t="shared" si="9"/>
        <v>0</v>
      </c>
      <c r="X61" s="505">
        <v>0.19</v>
      </c>
      <c r="Y61" s="506">
        <f t="shared" si="10"/>
        <v>0</v>
      </c>
      <c r="Z61" s="505">
        <v>0</v>
      </c>
      <c r="AA61" s="506">
        <f t="shared" si="11"/>
        <v>0</v>
      </c>
      <c r="AB61" s="505">
        <v>2</v>
      </c>
      <c r="AC61" s="506">
        <f t="shared" si="12"/>
        <v>0</v>
      </c>
      <c r="AD61" s="507" t="s">
        <v>449</v>
      </c>
    </row>
    <row r="62" spans="1:30" ht="13.5" thickBot="1" x14ac:dyDescent="0.25">
      <c r="A62" s="502" t="s">
        <v>462</v>
      </c>
      <c r="B62" s="508"/>
      <c r="C62" s="504">
        <v>100</v>
      </c>
      <c r="D62" s="505">
        <v>15</v>
      </c>
      <c r="E62" s="506">
        <f t="shared" si="0"/>
        <v>0</v>
      </c>
      <c r="F62" s="505">
        <v>2</v>
      </c>
      <c r="G62" s="506">
        <f t="shared" si="1"/>
        <v>0</v>
      </c>
      <c r="H62" s="505">
        <v>0.17</v>
      </c>
      <c r="I62" s="506">
        <f t="shared" si="2"/>
        <v>0</v>
      </c>
      <c r="J62" s="505">
        <v>0.3</v>
      </c>
      <c r="K62" s="506">
        <f t="shared" si="3"/>
        <v>0</v>
      </c>
      <c r="L62" s="505">
        <v>9</v>
      </c>
      <c r="M62" s="506">
        <f t="shared" si="4"/>
        <v>0</v>
      </c>
      <c r="N62" s="505">
        <v>112</v>
      </c>
      <c r="O62" s="506">
        <f t="shared" si="13"/>
        <v>0</v>
      </c>
      <c r="P62" s="505">
        <v>282</v>
      </c>
      <c r="Q62" s="506">
        <f t="shared" si="6"/>
        <v>0</v>
      </c>
      <c r="R62" s="505">
        <v>0.02</v>
      </c>
      <c r="S62" s="506">
        <f t="shared" si="7"/>
        <v>0</v>
      </c>
      <c r="T62" s="505">
        <v>0.02</v>
      </c>
      <c r="U62" s="506">
        <f t="shared" si="8"/>
        <v>0</v>
      </c>
      <c r="V62" s="505">
        <v>0.2</v>
      </c>
      <c r="W62" s="506">
        <f t="shared" si="9"/>
        <v>0</v>
      </c>
      <c r="X62" s="505">
        <v>0.03</v>
      </c>
      <c r="Y62" s="506">
        <f t="shared" si="10"/>
        <v>0</v>
      </c>
      <c r="Z62" s="505">
        <v>0</v>
      </c>
      <c r="AA62" s="506">
        <f t="shared" si="11"/>
        <v>0</v>
      </c>
      <c r="AB62" s="505">
        <v>2</v>
      </c>
      <c r="AC62" s="506">
        <f t="shared" si="12"/>
        <v>0</v>
      </c>
      <c r="AD62" s="507" t="s">
        <v>449</v>
      </c>
    </row>
    <row r="63" spans="1:30" ht="13.5" thickBot="1" x14ac:dyDescent="0.25">
      <c r="A63" s="502" t="s">
        <v>463</v>
      </c>
      <c r="B63" s="508"/>
      <c r="C63" s="504">
        <v>100</v>
      </c>
      <c r="D63" s="505">
        <v>22</v>
      </c>
      <c r="E63" s="506">
        <f t="shared" si="0"/>
        <v>0</v>
      </c>
      <c r="F63" s="505">
        <v>0</v>
      </c>
      <c r="G63" s="506">
        <f t="shared" si="1"/>
        <v>0</v>
      </c>
      <c r="H63" s="505">
        <v>3.13</v>
      </c>
      <c r="I63" s="506">
        <f t="shared" si="2"/>
        <v>0</v>
      </c>
      <c r="J63" s="505">
        <v>1.9</v>
      </c>
      <c r="K63" s="506">
        <f t="shared" si="3"/>
        <v>0</v>
      </c>
      <c r="L63" s="505">
        <v>8</v>
      </c>
      <c r="M63" s="506">
        <f t="shared" si="4"/>
        <v>0</v>
      </c>
      <c r="N63" s="505">
        <v>343</v>
      </c>
      <c r="O63" s="506">
        <f t="shared" si="13"/>
        <v>0</v>
      </c>
      <c r="P63" s="505">
        <v>234</v>
      </c>
      <c r="Q63" s="506">
        <f t="shared" si="6"/>
        <v>0</v>
      </c>
      <c r="R63" s="505">
        <v>0.05</v>
      </c>
      <c r="S63" s="506">
        <f t="shared" si="7"/>
        <v>0</v>
      </c>
      <c r="T63" s="505">
        <v>0.12</v>
      </c>
      <c r="U63" s="506">
        <f t="shared" si="8"/>
        <v>0</v>
      </c>
      <c r="V63" s="505">
        <v>11.9</v>
      </c>
      <c r="W63" s="506">
        <f t="shared" si="9"/>
        <v>0</v>
      </c>
      <c r="X63" s="505">
        <v>0.44</v>
      </c>
      <c r="Y63" s="506">
        <f t="shared" si="10"/>
        <v>0</v>
      </c>
      <c r="Z63" s="505">
        <v>0</v>
      </c>
      <c r="AA63" s="506">
        <f t="shared" si="11"/>
        <v>0</v>
      </c>
      <c r="AB63" s="505">
        <v>4</v>
      </c>
      <c r="AC63" s="506">
        <f t="shared" si="12"/>
        <v>0</v>
      </c>
      <c r="AD63" s="507" t="s">
        <v>449</v>
      </c>
    </row>
    <row r="64" spans="1:30" ht="13.5" thickBot="1" x14ac:dyDescent="0.25">
      <c r="A64" s="502" t="s">
        <v>464</v>
      </c>
      <c r="B64" s="508"/>
      <c r="C64" s="504">
        <v>55</v>
      </c>
      <c r="D64" s="505">
        <v>14</v>
      </c>
      <c r="E64" s="506">
        <f t="shared" si="0"/>
        <v>0</v>
      </c>
      <c r="F64" s="505">
        <v>0</v>
      </c>
      <c r="G64" s="506">
        <f t="shared" si="1"/>
        <v>0</v>
      </c>
      <c r="H64" s="505">
        <v>0.7</v>
      </c>
      <c r="I64" s="506">
        <f t="shared" si="2"/>
        <v>0</v>
      </c>
      <c r="J64" s="505">
        <v>1</v>
      </c>
      <c r="K64" s="506">
        <f t="shared" si="3"/>
        <v>0</v>
      </c>
      <c r="L64" s="505">
        <v>14</v>
      </c>
      <c r="M64" s="506">
        <f t="shared" si="4"/>
        <v>0</v>
      </c>
      <c r="N64" s="505">
        <v>465</v>
      </c>
      <c r="O64" s="506">
        <f t="shared" si="13"/>
        <v>0</v>
      </c>
      <c r="P64" s="505">
        <v>220</v>
      </c>
      <c r="Q64" s="506">
        <f t="shared" si="6"/>
        <v>0</v>
      </c>
      <c r="R64" s="505">
        <v>0.08</v>
      </c>
      <c r="S64" s="506">
        <f t="shared" si="7"/>
        <v>0</v>
      </c>
      <c r="T64" s="505">
        <v>0.06</v>
      </c>
      <c r="U64" s="506">
        <f t="shared" si="8"/>
        <v>0</v>
      </c>
      <c r="V64" s="505">
        <v>3</v>
      </c>
      <c r="W64" s="506">
        <f t="shared" si="9"/>
        <v>0</v>
      </c>
      <c r="X64" s="505">
        <v>0.2</v>
      </c>
      <c r="Y64" s="506">
        <f t="shared" si="10"/>
        <v>0</v>
      </c>
      <c r="Z64" s="505">
        <v>2</v>
      </c>
      <c r="AA64" s="506">
        <f t="shared" si="11"/>
        <v>0</v>
      </c>
      <c r="AB64" s="505">
        <v>10</v>
      </c>
      <c r="AC64" s="506">
        <f t="shared" si="12"/>
        <v>0</v>
      </c>
      <c r="AD64" s="507" t="s">
        <v>449</v>
      </c>
    </row>
    <row r="65" spans="1:30" ht="13.5" thickBot="1" x14ac:dyDescent="0.25">
      <c r="A65" s="502" t="s">
        <v>465</v>
      </c>
      <c r="B65" s="508"/>
      <c r="C65" s="504">
        <v>25</v>
      </c>
      <c r="D65" s="505">
        <v>10</v>
      </c>
      <c r="E65" s="506">
        <f t="shared" si="0"/>
        <v>0</v>
      </c>
      <c r="F65" s="505">
        <v>2</v>
      </c>
      <c r="G65" s="506">
        <f t="shared" si="1"/>
        <v>0</v>
      </c>
      <c r="H65" s="505">
        <v>0.24</v>
      </c>
      <c r="I65" s="506">
        <f t="shared" si="2"/>
        <v>0</v>
      </c>
      <c r="J65" s="505">
        <v>14</v>
      </c>
      <c r="K65" s="506">
        <f t="shared" si="3"/>
        <v>0</v>
      </c>
      <c r="L65" s="505">
        <v>46</v>
      </c>
      <c r="M65" s="506">
        <f t="shared" si="4"/>
        <v>0</v>
      </c>
      <c r="N65" s="505">
        <v>314</v>
      </c>
      <c r="O65" s="506">
        <f t="shared" si="13"/>
        <v>0</v>
      </c>
      <c r="P65" s="505">
        <v>169</v>
      </c>
      <c r="Q65" s="506">
        <f t="shared" si="6"/>
        <v>0</v>
      </c>
      <c r="R65" s="505">
        <v>0.08</v>
      </c>
      <c r="S65" s="506">
        <f t="shared" si="7"/>
        <v>0</v>
      </c>
      <c r="T65" s="505">
        <v>0.21</v>
      </c>
      <c r="U65" s="506">
        <f t="shared" si="8"/>
        <v>0</v>
      </c>
      <c r="V65" s="505">
        <v>1.8</v>
      </c>
      <c r="W65" s="506">
        <f t="shared" si="9"/>
        <v>0</v>
      </c>
      <c r="X65" s="505">
        <v>0.06</v>
      </c>
      <c r="Y65" s="506">
        <f t="shared" si="10"/>
        <v>0</v>
      </c>
      <c r="Z65" s="505">
        <v>13</v>
      </c>
      <c r="AA65" s="506">
        <f t="shared" si="11"/>
        <v>0</v>
      </c>
      <c r="AB65" s="505">
        <v>2</v>
      </c>
      <c r="AC65" s="506">
        <f t="shared" si="12"/>
        <v>0</v>
      </c>
      <c r="AD65" s="507" t="s">
        <v>449</v>
      </c>
    </row>
    <row r="66" spans="1:30" ht="13.5" thickBot="1" x14ac:dyDescent="0.25">
      <c r="A66" s="502" t="s">
        <v>466</v>
      </c>
      <c r="B66" s="508"/>
      <c r="C66" s="504">
        <v>89</v>
      </c>
      <c r="D66" s="505">
        <v>13</v>
      </c>
      <c r="E66" s="506">
        <f t="shared" ref="E66:E129" si="14">D66*B66/100</f>
        <v>0</v>
      </c>
      <c r="F66" s="505">
        <v>1</v>
      </c>
      <c r="G66" s="506">
        <f t="shared" ref="G66:G129" si="15">F66*B66/100</f>
        <v>0</v>
      </c>
      <c r="H66" s="505">
        <v>3.31</v>
      </c>
      <c r="I66" s="506">
        <f t="shared" ref="I66:I129" si="16">H66*B66/100</f>
        <v>0</v>
      </c>
      <c r="J66" s="505">
        <v>2</v>
      </c>
      <c r="K66" s="506">
        <f t="shared" ref="K66:K129" si="17">J66*B66/100</f>
        <v>0</v>
      </c>
      <c r="L66" s="505">
        <v>50</v>
      </c>
      <c r="M66" s="506">
        <f t="shared" ref="M66:M129" si="18">L66*B66/100</f>
        <v>0</v>
      </c>
      <c r="N66" s="505">
        <v>140</v>
      </c>
      <c r="O66" s="506">
        <f t="shared" ref="O66:O97" si="19">N66*B67/100</f>
        <v>0</v>
      </c>
      <c r="P66" s="505">
        <v>210</v>
      </c>
      <c r="Q66" s="506">
        <f t="shared" ref="Q66:Q129" si="20">P66*B66/100</f>
        <v>0</v>
      </c>
      <c r="R66" s="505">
        <v>0.11</v>
      </c>
      <c r="S66" s="506">
        <f t="shared" ref="S66:S129" si="21">R66*B66/100</f>
        <v>0</v>
      </c>
      <c r="T66" s="505">
        <v>0.31</v>
      </c>
      <c r="U66" s="506">
        <f t="shared" ref="U66:U129" si="22">T66*B66/100</f>
        <v>0</v>
      </c>
      <c r="V66" s="505">
        <v>0.1</v>
      </c>
      <c r="W66" s="506">
        <f t="shared" ref="W66:W129" si="23">V66*B66/100</f>
        <v>0</v>
      </c>
      <c r="X66" s="505">
        <v>0.12</v>
      </c>
      <c r="Y66" s="506">
        <f t="shared" ref="Y66:Y129" si="24">X66*B66/100</f>
        <v>0</v>
      </c>
      <c r="Z66" s="505">
        <v>0</v>
      </c>
      <c r="AA66" s="506">
        <f t="shared" ref="AA66:AA129" si="25">Z66*B66/100</f>
        <v>0</v>
      </c>
      <c r="AB66" s="505">
        <v>1</v>
      </c>
      <c r="AC66" s="506">
        <f t="shared" ref="AC66:AC129" si="26">AB66*B66/100</f>
        <v>0</v>
      </c>
      <c r="AD66" s="507" t="s">
        <v>467</v>
      </c>
    </row>
    <row r="67" spans="1:30" ht="13.5" thickBot="1" x14ac:dyDescent="0.25">
      <c r="A67" s="502" t="s">
        <v>468</v>
      </c>
      <c r="B67" s="508"/>
      <c r="C67" s="504">
        <v>65</v>
      </c>
      <c r="D67" s="505">
        <v>0</v>
      </c>
      <c r="E67" s="506">
        <f t="shared" si="14"/>
        <v>0</v>
      </c>
      <c r="F67" s="505">
        <v>3.1</v>
      </c>
      <c r="G67" s="506">
        <f t="shared" si="15"/>
        <v>0</v>
      </c>
      <c r="H67" s="505">
        <v>7.13</v>
      </c>
      <c r="I67" s="506">
        <f t="shared" si="16"/>
        <v>0</v>
      </c>
      <c r="J67" s="505">
        <v>3.5</v>
      </c>
      <c r="K67" s="506">
        <f t="shared" si="17"/>
        <v>0</v>
      </c>
      <c r="L67" s="505">
        <v>64</v>
      </c>
      <c r="M67" s="506">
        <f t="shared" si="18"/>
        <v>0</v>
      </c>
      <c r="N67" s="505">
        <v>680</v>
      </c>
      <c r="O67" s="506">
        <f t="shared" si="19"/>
        <v>0</v>
      </c>
      <c r="P67" s="505">
        <v>283</v>
      </c>
      <c r="Q67" s="506">
        <f t="shared" si="20"/>
        <v>0</v>
      </c>
      <c r="R67" s="505">
        <v>0.16</v>
      </c>
      <c r="S67" s="506">
        <f t="shared" si="21"/>
        <v>0</v>
      </c>
      <c r="T67" s="505">
        <v>0.08</v>
      </c>
      <c r="U67" s="506">
        <f t="shared" si="22"/>
        <v>0</v>
      </c>
      <c r="V67" s="505">
        <v>14</v>
      </c>
      <c r="W67" s="506">
        <f t="shared" si="23"/>
        <v>0</v>
      </c>
      <c r="X67" s="505">
        <v>0.54</v>
      </c>
      <c r="Y67" s="506">
        <f t="shared" si="24"/>
        <v>0</v>
      </c>
      <c r="Z67" s="505">
        <v>0</v>
      </c>
      <c r="AA67" s="506">
        <f t="shared" si="25"/>
        <v>0</v>
      </c>
      <c r="AB67" s="505">
        <v>0</v>
      </c>
      <c r="AC67" s="506">
        <f t="shared" si="26"/>
        <v>0</v>
      </c>
      <c r="AD67" s="509" t="s">
        <v>469</v>
      </c>
    </row>
    <row r="68" spans="1:30" ht="13.5" thickBot="1" x14ac:dyDescent="0.25">
      <c r="A68" s="502" t="s">
        <v>470</v>
      </c>
      <c r="B68" s="508"/>
      <c r="C68" s="504">
        <v>100</v>
      </c>
      <c r="D68" s="505">
        <v>0</v>
      </c>
      <c r="E68" s="506">
        <f t="shared" si="14"/>
        <v>0</v>
      </c>
      <c r="F68" s="505">
        <v>3.7</v>
      </c>
      <c r="G68" s="506">
        <f t="shared" si="15"/>
        <v>0</v>
      </c>
      <c r="H68" s="505">
        <v>0.63</v>
      </c>
      <c r="I68" s="506">
        <f t="shared" si="16"/>
        <v>0</v>
      </c>
      <c r="J68" s="505">
        <v>6.1</v>
      </c>
      <c r="K68" s="506">
        <f t="shared" si="17"/>
        <v>0</v>
      </c>
      <c r="L68" s="505">
        <v>117</v>
      </c>
      <c r="M68" s="506">
        <f t="shared" si="18"/>
        <v>0</v>
      </c>
      <c r="N68" s="505">
        <v>800</v>
      </c>
      <c r="O68" s="506">
        <f t="shared" si="19"/>
        <v>0</v>
      </c>
      <c r="P68" s="505">
        <v>299</v>
      </c>
      <c r="Q68" s="506">
        <f t="shared" si="20"/>
        <v>0</v>
      </c>
      <c r="R68" s="505">
        <v>0.36</v>
      </c>
      <c r="S68" s="506">
        <f t="shared" si="21"/>
        <v>0</v>
      </c>
      <c r="T68" s="505">
        <v>0.14000000000000001</v>
      </c>
      <c r="U68" s="506">
        <f t="shared" si="22"/>
        <v>0</v>
      </c>
      <c r="V68" s="505">
        <v>1.7</v>
      </c>
      <c r="W68" s="506">
        <f t="shared" si="23"/>
        <v>0</v>
      </c>
      <c r="X68" s="505">
        <v>0.53</v>
      </c>
      <c r="Y68" s="506">
        <f t="shared" si="24"/>
        <v>0</v>
      </c>
      <c r="Z68" s="505">
        <v>5</v>
      </c>
      <c r="AA68" s="506">
        <f t="shared" si="25"/>
        <v>0</v>
      </c>
      <c r="AB68" s="505">
        <v>0</v>
      </c>
      <c r="AC68" s="506">
        <f t="shared" si="26"/>
        <v>0</v>
      </c>
      <c r="AD68" s="507" t="s">
        <v>469</v>
      </c>
    </row>
    <row r="69" spans="1:30" ht="13.5" thickBot="1" x14ac:dyDescent="0.25">
      <c r="A69" s="502" t="s">
        <v>471</v>
      </c>
      <c r="B69" s="508"/>
      <c r="C69" s="504">
        <v>100</v>
      </c>
      <c r="D69" s="505">
        <v>0</v>
      </c>
      <c r="E69" s="506">
        <f t="shared" si="14"/>
        <v>0</v>
      </c>
      <c r="F69" s="505">
        <v>1.4</v>
      </c>
      <c r="G69" s="506">
        <f t="shared" si="15"/>
        <v>0</v>
      </c>
      <c r="H69" s="505">
        <v>0.18</v>
      </c>
      <c r="I69" s="506">
        <f t="shared" si="16"/>
        <v>0</v>
      </c>
      <c r="J69" s="505">
        <v>1.5</v>
      </c>
      <c r="K69" s="506">
        <f t="shared" si="17"/>
        <v>0</v>
      </c>
      <c r="L69" s="505">
        <v>41</v>
      </c>
      <c r="M69" s="506">
        <f t="shared" si="18"/>
        <v>0</v>
      </c>
      <c r="N69" s="505">
        <v>96</v>
      </c>
      <c r="O69" s="506">
        <f t="shared" si="19"/>
        <v>0</v>
      </c>
      <c r="P69" s="505">
        <v>55</v>
      </c>
      <c r="Q69" s="506">
        <f t="shared" si="20"/>
        <v>0</v>
      </c>
      <c r="R69" s="505">
        <v>0.03</v>
      </c>
      <c r="S69" s="506">
        <f t="shared" si="21"/>
        <v>0</v>
      </c>
      <c r="T69" s="505">
        <v>0.02</v>
      </c>
      <c r="U69" s="506">
        <f t="shared" si="22"/>
        <v>0</v>
      </c>
      <c r="V69" s="505">
        <v>0.1</v>
      </c>
      <c r="W69" s="506">
        <f t="shared" si="23"/>
        <v>0</v>
      </c>
      <c r="X69" s="505">
        <v>0.03</v>
      </c>
      <c r="Y69" s="506">
        <f t="shared" si="24"/>
        <v>0</v>
      </c>
      <c r="Z69" s="505">
        <v>2</v>
      </c>
      <c r="AA69" s="506">
        <f t="shared" si="25"/>
        <v>0</v>
      </c>
      <c r="AB69" s="505">
        <v>0</v>
      </c>
      <c r="AC69" s="506">
        <f t="shared" si="26"/>
        <v>0</v>
      </c>
      <c r="AD69" s="507" t="s">
        <v>469</v>
      </c>
    </row>
    <row r="70" spans="1:30" ht="13.5" thickBot="1" x14ac:dyDescent="0.25">
      <c r="A70" s="502" t="s">
        <v>472</v>
      </c>
      <c r="B70" s="508"/>
      <c r="C70" s="504">
        <v>41</v>
      </c>
      <c r="D70" s="505">
        <v>0</v>
      </c>
      <c r="E70" s="506">
        <f t="shared" si="14"/>
        <v>0</v>
      </c>
      <c r="F70" s="505">
        <v>1.3</v>
      </c>
      <c r="G70" s="506">
        <f t="shared" si="15"/>
        <v>0</v>
      </c>
      <c r="H70" s="505">
        <v>0.12</v>
      </c>
      <c r="I70" s="506">
        <f t="shared" si="16"/>
        <v>0</v>
      </c>
      <c r="J70" s="505">
        <v>3</v>
      </c>
      <c r="K70" s="506">
        <f t="shared" si="17"/>
        <v>0</v>
      </c>
      <c r="L70" s="505">
        <v>44</v>
      </c>
      <c r="M70" s="506">
        <f t="shared" si="18"/>
        <v>0</v>
      </c>
      <c r="N70" s="505">
        <v>650</v>
      </c>
      <c r="O70" s="506">
        <f t="shared" si="19"/>
        <v>0</v>
      </c>
      <c r="P70" s="505">
        <v>180</v>
      </c>
      <c r="Q70" s="506">
        <f t="shared" si="20"/>
        <v>0</v>
      </c>
      <c r="R70" s="505">
        <v>0.44</v>
      </c>
      <c r="S70" s="506">
        <f t="shared" si="21"/>
        <v>0</v>
      </c>
      <c r="T70" s="505">
        <v>0.1</v>
      </c>
      <c r="U70" s="506">
        <f t="shared" si="22"/>
        <v>0</v>
      </c>
      <c r="V70" s="505">
        <v>1</v>
      </c>
      <c r="W70" s="506">
        <f t="shared" si="23"/>
        <v>0</v>
      </c>
      <c r="X70" s="505">
        <v>0.08</v>
      </c>
      <c r="Y70" s="506">
        <f t="shared" si="24"/>
        <v>0</v>
      </c>
      <c r="Z70" s="505">
        <v>10</v>
      </c>
      <c r="AA70" s="506">
        <f t="shared" si="25"/>
        <v>0</v>
      </c>
      <c r="AB70" s="505">
        <v>0</v>
      </c>
      <c r="AC70" s="506">
        <f t="shared" si="26"/>
        <v>0</v>
      </c>
      <c r="AD70" s="507" t="s">
        <v>469</v>
      </c>
    </row>
    <row r="71" spans="1:30" ht="13.5" thickBot="1" x14ac:dyDescent="0.25">
      <c r="A71" s="502" t="s">
        <v>473</v>
      </c>
      <c r="B71" s="508"/>
      <c r="C71" s="504">
        <v>100</v>
      </c>
      <c r="D71" s="505">
        <v>0</v>
      </c>
      <c r="E71" s="506">
        <f t="shared" si="14"/>
        <v>0</v>
      </c>
      <c r="F71" s="505">
        <v>1.1000000000000001</v>
      </c>
      <c r="G71" s="506">
        <f t="shared" si="15"/>
        <v>0</v>
      </c>
      <c r="H71" s="505">
        <v>0.1</v>
      </c>
      <c r="I71" s="506">
        <f t="shared" si="16"/>
        <v>0</v>
      </c>
      <c r="J71" s="505">
        <v>1.9</v>
      </c>
      <c r="K71" s="506">
        <f t="shared" si="17"/>
        <v>0</v>
      </c>
      <c r="L71" s="505">
        <v>40</v>
      </c>
      <c r="M71" s="506">
        <f t="shared" si="18"/>
        <v>0</v>
      </c>
      <c r="N71" s="505">
        <v>232</v>
      </c>
      <c r="O71" s="506">
        <f t="shared" si="19"/>
        <v>0</v>
      </c>
      <c r="P71" s="505">
        <v>47</v>
      </c>
      <c r="Q71" s="506">
        <f t="shared" si="20"/>
        <v>0</v>
      </c>
      <c r="R71" s="505">
        <v>0.03</v>
      </c>
      <c r="S71" s="506">
        <f t="shared" si="21"/>
        <v>0</v>
      </c>
      <c r="T71" s="505">
        <v>0.02</v>
      </c>
      <c r="U71" s="506">
        <f t="shared" si="22"/>
        <v>0</v>
      </c>
      <c r="V71" s="505">
        <v>0.1</v>
      </c>
      <c r="W71" s="506">
        <f t="shared" si="23"/>
        <v>0</v>
      </c>
      <c r="X71" s="505">
        <v>0.03</v>
      </c>
      <c r="Y71" s="506">
        <f t="shared" si="24"/>
        <v>0</v>
      </c>
      <c r="Z71" s="505">
        <v>2</v>
      </c>
      <c r="AA71" s="506">
        <f t="shared" si="25"/>
        <v>0</v>
      </c>
      <c r="AB71" s="505">
        <v>0</v>
      </c>
      <c r="AC71" s="506">
        <f t="shared" si="26"/>
        <v>0</v>
      </c>
      <c r="AD71" s="507" t="s">
        <v>469</v>
      </c>
    </row>
    <row r="72" spans="1:30" ht="13.5" thickBot="1" x14ac:dyDescent="0.25">
      <c r="A72" s="502" t="s">
        <v>474</v>
      </c>
      <c r="B72" s="508"/>
      <c r="C72" s="504">
        <v>100</v>
      </c>
      <c r="D72" s="505">
        <v>0</v>
      </c>
      <c r="E72" s="506">
        <f t="shared" si="14"/>
        <v>0</v>
      </c>
      <c r="F72" s="505">
        <v>3.7</v>
      </c>
      <c r="G72" s="506">
        <f t="shared" si="15"/>
        <v>0</v>
      </c>
      <c r="H72" s="505">
        <v>0.63</v>
      </c>
      <c r="I72" s="506">
        <f t="shared" si="16"/>
        <v>0</v>
      </c>
      <c r="J72" s="505">
        <v>6.1</v>
      </c>
      <c r="K72" s="506">
        <f t="shared" si="17"/>
        <v>0</v>
      </c>
      <c r="L72" s="505">
        <v>117</v>
      </c>
      <c r="M72" s="506">
        <f t="shared" si="18"/>
        <v>0</v>
      </c>
      <c r="N72" s="505">
        <v>800</v>
      </c>
      <c r="O72" s="506">
        <f t="shared" si="19"/>
        <v>0</v>
      </c>
      <c r="P72" s="505">
        <v>299</v>
      </c>
      <c r="Q72" s="506">
        <f t="shared" si="20"/>
        <v>0</v>
      </c>
      <c r="R72" s="505">
        <v>0.36</v>
      </c>
      <c r="S72" s="506">
        <f t="shared" si="21"/>
        <v>0</v>
      </c>
      <c r="T72" s="505">
        <v>0.14000000000000001</v>
      </c>
      <c r="U72" s="506">
        <f t="shared" si="22"/>
        <v>0</v>
      </c>
      <c r="V72" s="505">
        <v>1.7</v>
      </c>
      <c r="W72" s="506">
        <f t="shared" si="23"/>
        <v>0</v>
      </c>
      <c r="X72" s="505">
        <v>0.53</v>
      </c>
      <c r="Y72" s="506">
        <f t="shared" si="24"/>
        <v>0</v>
      </c>
      <c r="Z72" s="505">
        <v>5</v>
      </c>
      <c r="AA72" s="506">
        <f t="shared" si="25"/>
        <v>0</v>
      </c>
      <c r="AB72" s="505">
        <v>0</v>
      </c>
      <c r="AC72" s="506">
        <f t="shared" si="26"/>
        <v>0</v>
      </c>
      <c r="AD72" s="507" t="s">
        <v>469</v>
      </c>
    </row>
    <row r="73" spans="1:30" ht="13.5" thickBot="1" x14ac:dyDescent="0.25">
      <c r="A73" s="502" t="s">
        <v>475</v>
      </c>
      <c r="B73" s="508"/>
      <c r="C73" s="504">
        <v>100</v>
      </c>
      <c r="D73" s="505">
        <v>0</v>
      </c>
      <c r="E73" s="506">
        <f t="shared" si="14"/>
        <v>0</v>
      </c>
      <c r="F73" s="505">
        <v>0.8</v>
      </c>
      <c r="G73" s="506">
        <f t="shared" si="15"/>
        <v>0</v>
      </c>
      <c r="H73" s="505">
        <v>0.21</v>
      </c>
      <c r="I73" s="506">
        <f t="shared" si="16"/>
        <v>0</v>
      </c>
      <c r="J73" s="505">
        <v>0.4</v>
      </c>
      <c r="K73" s="506">
        <f t="shared" si="17"/>
        <v>0</v>
      </c>
      <c r="L73" s="505">
        <v>13</v>
      </c>
      <c r="M73" s="506">
        <f t="shared" si="18"/>
        <v>0</v>
      </c>
      <c r="N73" s="505">
        <v>120</v>
      </c>
      <c r="O73" s="506">
        <f t="shared" si="19"/>
        <v>0</v>
      </c>
      <c r="P73" s="505">
        <v>47</v>
      </c>
      <c r="Q73" s="506">
        <f t="shared" si="20"/>
        <v>0</v>
      </c>
      <c r="R73" s="505">
        <v>0.06</v>
      </c>
      <c r="S73" s="506">
        <f t="shared" si="21"/>
        <v>0</v>
      </c>
      <c r="T73" s="505">
        <v>0.27</v>
      </c>
      <c r="U73" s="506">
        <f t="shared" si="22"/>
        <v>0</v>
      </c>
      <c r="V73" s="505">
        <v>0.1</v>
      </c>
      <c r="W73" s="506">
        <f t="shared" si="23"/>
        <v>0</v>
      </c>
      <c r="X73" s="505">
        <v>7.0000000000000007E-2</v>
      </c>
      <c r="Y73" s="506">
        <f t="shared" si="24"/>
        <v>0</v>
      </c>
      <c r="Z73" s="505">
        <v>0</v>
      </c>
      <c r="AA73" s="506">
        <f t="shared" si="25"/>
        <v>0</v>
      </c>
      <c r="AB73" s="505">
        <v>0</v>
      </c>
      <c r="AC73" s="506">
        <f t="shared" si="26"/>
        <v>0</v>
      </c>
      <c r="AD73" s="507" t="s">
        <v>469</v>
      </c>
    </row>
    <row r="74" spans="1:30" ht="13.5" thickBot="1" x14ac:dyDescent="0.25">
      <c r="A74" s="502" t="s">
        <v>476</v>
      </c>
      <c r="B74" s="508"/>
      <c r="C74" s="504">
        <v>100</v>
      </c>
      <c r="D74" s="505">
        <v>8</v>
      </c>
      <c r="E74" s="506">
        <f t="shared" si="14"/>
        <v>0</v>
      </c>
      <c r="F74" s="505">
        <v>56.5</v>
      </c>
      <c r="G74" s="506">
        <f t="shared" si="15"/>
        <v>0</v>
      </c>
      <c r="H74" s="505">
        <v>5.59</v>
      </c>
      <c r="I74" s="506">
        <f t="shared" si="16"/>
        <v>0</v>
      </c>
      <c r="J74" s="505">
        <v>0.2</v>
      </c>
      <c r="K74" s="506">
        <f t="shared" si="17"/>
        <v>0</v>
      </c>
      <c r="L74" s="505">
        <v>293</v>
      </c>
      <c r="M74" s="506">
        <f t="shared" si="18"/>
        <v>0</v>
      </c>
      <c r="N74" s="505">
        <v>390</v>
      </c>
      <c r="O74" s="506">
        <f t="shared" si="19"/>
        <v>3549</v>
      </c>
      <c r="P74" s="505">
        <v>235</v>
      </c>
      <c r="Q74" s="506">
        <f t="shared" si="20"/>
        <v>0</v>
      </c>
      <c r="R74" s="505">
        <v>0.09</v>
      </c>
      <c r="S74" s="506">
        <f t="shared" si="21"/>
        <v>0</v>
      </c>
      <c r="T74" s="505">
        <v>0.43</v>
      </c>
      <c r="U74" s="506">
        <f t="shared" si="22"/>
        <v>0</v>
      </c>
      <c r="V74" s="505">
        <v>0.2</v>
      </c>
      <c r="W74" s="506">
        <f t="shared" si="23"/>
        <v>0</v>
      </c>
      <c r="X74" s="505">
        <v>7.0000000000000007E-2</v>
      </c>
      <c r="Y74" s="506">
        <f t="shared" si="24"/>
        <v>0</v>
      </c>
      <c r="Z74" s="505">
        <v>3</v>
      </c>
      <c r="AA74" s="506">
        <f t="shared" si="25"/>
        <v>0</v>
      </c>
      <c r="AB74" s="505">
        <v>4</v>
      </c>
      <c r="AC74" s="506">
        <f t="shared" si="26"/>
        <v>0</v>
      </c>
      <c r="AD74" s="507" t="s">
        <v>469</v>
      </c>
    </row>
    <row r="75" spans="1:30" ht="13.5" thickBot="1" x14ac:dyDescent="0.25">
      <c r="A75" s="502" t="s">
        <v>477</v>
      </c>
      <c r="B75" s="508">
        <v>910</v>
      </c>
      <c r="C75" s="504">
        <v>100</v>
      </c>
      <c r="D75" s="505">
        <v>3</v>
      </c>
      <c r="E75" s="506">
        <f t="shared" si="14"/>
        <v>27.3</v>
      </c>
      <c r="F75" s="505">
        <v>4.8</v>
      </c>
      <c r="G75" s="506">
        <f t="shared" si="15"/>
        <v>43.68</v>
      </c>
      <c r="H75" s="505">
        <v>2.11</v>
      </c>
      <c r="I75" s="506">
        <f t="shared" si="16"/>
        <v>19.201000000000001</v>
      </c>
      <c r="J75" s="505">
        <v>0.1</v>
      </c>
      <c r="K75" s="506">
        <f t="shared" si="17"/>
        <v>0.91</v>
      </c>
      <c r="L75" s="505">
        <v>119</v>
      </c>
      <c r="M75" s="506">
        <f t="shared" si="18"/>
        <v>1082.9000000000001</v>
      </c>
      <c r="N75" s="505">
        <v>150</v>
      </c>
      <c r="O75" s="506">
        <f t="shared" si="19"/>
        <v>0</v>
      </c>
      <c r="P75" s="505">
        <v>93</v>
      </c>
      <c r="Q75" s="506">
        <f t="shared" si="20"/>
        <v>846.3</v>
      </c>
      <c r="R75" s="505">
        <v>0.04</v>
      </c>
      <c r="S75" s="506">
        <f t="shared" si="21"/>
        <v>0.36399999999999999</v>
      </c>
      <c r="T75" s="505">
        <v>0.18</v>
      </c>
      <c r="U75" s="506">
        <f t="shared" si="22"/>
        <v>1.6379999999999999</v>
      </c>
      <c r="V75" s="505">
        <v>0.1</v>
      </c>
      <c r="W75" s="506">
        <f t="shared" si="23"/>
        <v>0.91</v>
      </c>
      <c r="X75" s="505">
        <v>0.06</v>
      </c>
      <c r="Y75" s="506">
        <f t="shared" si="24"/>
        <v>0.54600000000000004</v>
      </c>
      <c r="Z75" s="505">
        <v>1</v>
      </c>
      <c r="AA75" s="506">
        <f t="shared" si="25"/>
        <v>9.1</v>
      </c>
      <c r="AB75" s="505">
        <v>0</v>
      </c>
      <c r="AC75" s="506">
        <f t="shared" si="26"/>
        <v>0</v>
      </c>
      <c r="AD75" s="507" t="s">
        <v>469</v>
      </c>
    </row>
    <row r="76" spans="1:30" ht="13.5" thickBot="1" x14ac:dyDescent="0.25">
      <c r="A76" s="502" t="s">
        <v>478</v>
      </c>
      <c r="B76" s="508"/>
      <c r="C76" s="504">
        <v>100</v>
      </c>
      <c r="D76" s="505">
        <v>3</v>
      </c>
      <c r="E76" s="506">
        <f t="shared" si="14"/>
        <v>0</v>
      </c>
      <c r="F76" s="505">
        <v>5</v>
      </c>
      <c r="G76" s="506">
        <f t="shared" si="15"/>
        <v>0</v>
      </c>
      <c r="H76" s="505">
        <v>0.89</v>
      </c>
      <c r="I76" s="506">
        <f t="shared" si="16"/>
        <v>0</v>
      </c>
      <c r="J76" s="505">
        <v>0.1</v>
      </c>
      <c r="K76" s="506">
        <f t="shared" si="17"/>
        <v>0</v>
      </c>
      <c r="L76" s="505">
        <v>120</v>
      </c>
      <c r="M76" s="506">
        <f t="shared" si="18"/>
        <v>0</v>
      </c>
      <c r="N76" s="505">
        <v>170</v>
      </c>
      <c r="O76" s="506">
        <f t="shared" si="19"/>
        <v>0</v>
      </c>
      <c r="P76" s="505">
        <v>94</v>
      </c>
      <c r="Q76" s="506">
        <f t="shared" si="20"/>
        <v>0</v>
      </c>
      <c r="R76" s="505">
        <v>0.04</v>
      </c>
      <c r="S76" s="506">
        <f t="shared" si="21"/>
        <v>0</v>
      </c>
      <c r="T76" s="505">
        <v>0.18</v>
      </c>
      <c r="U76" s="506">
        <f t="shared" si="22"/>
        <v>0</v>
      </c>
      <c r="V76" s="505">
        <v>0.1</v>
      </c>
      <c r="W76" s="506">
        <f t="shared" si="23"/>
        <v>0</v>
      </c>
      <c r="X76" s="505">
        <v>0.06</v>
      </c>
      <c r="Y76" s="506">
        <f t="shared" si="24"/>
        <v>0</v>
      </c>
      <c r="Z76" s="505">
        <v>1</v>
      </c>
      <c r="AA76" s="506">
        <f t="shared" si="25"/>
        <v>0</v>
      </c>
      <c r="AB76" s="505">
        <v>0</v>
      </c>
      <c r="AC76" s="506">
        <f t="shared" si="26"/>
        <v>0</v>
      </c>
      <c r="AD76" s="507" t="s">
        <v>469</v>
      </c>
    </row>
    <row r="77" spans="1:30" ht="13.5" thickBot="1" x14ac:dyDescent="0.25">
      <c r="A77" s="502" t="s">
        <v>479</v>
      </c>
      <c r="B77" s="508"/>
      <c r="C77" s="504">
        <v>100</v>
      </c>
      <c r="D77" s="505">
        <v>0</v>
      </c>
      <c r="E77" s="506">
        <f t="shared" si="14"/>
        <v>0</v>
      </c>
      <c r="F77" s="505">
        <v>2.4</v>
      </c>
      <c r="G77" s="506">
        <f t="shared" si="15"/>
        <v>0</v>
      </c>
      <c r="H77" s="505">
        <v>0.34</v>
      </c>
      <c r="I77" s="506">
        <f t="shared" si="16"/>
        <v>0</v>
      </c>
      <c r="J77" s="505">
        <v>5.0999999999999996</v>
      </c>
      <c r="K77" s="506">
        <f t="shared" si="17"/>
        <v>0</v>
      </c>
      <c r="L77" s="505">
        <v>127</v>
      </c>
      <c r="M77" s="506">
        <f t="shared" si="18"/>
        <v>0</v>
      </c>
      <c r="N77" s="505">
        <v>980</v>
      </c>
      <c r="O77" s="506">
        <f t="shared" si="19"/>
        <v>0</v>
      </c>
      <c r="P77" s="505">
        <v>347</v>
      </c>
      <c r="Q77" s="506">
        <f t="shared" si="20"/>
        <v>0</v>
      </c>
      <c r="R77" s="505">
        <v>0.56999999999999995</v>
      </c>
      <c r="S77" s="506">
        <f t="shared" si="21"/>
        <v>0</v>
      </c>
      <c r="T77" s="505">
        <v>0.2</v>
      </c>
      <c r="U77" s="506">
        <f t="shared" si="22"/>
        <v>0</v>
      </c>
      <c r="V77" s="505">
        <v>1.8</v>
      </c>
      <c r="W77" s="506">
        <f t="shared" si="23"/>
        <v>0</v>
      </c>
      <c r="X77" s="505">
        <v>0.93</v>
      </c>
      <c r="Y77" s="506">
        <f t="shared" si="24"/>
        <v>0</v>
      </c>
      <c r="Z77" s="505">
        <v>3</v>
      </c>
      <c r="AA77" s="506">
        <f t="shared" si="25"/>
        <v>0</v>
      </c>
      <c r="AB77" s="505">
        <v>0</v>
      </c>
      <c r="AC77" s="506">
        <f t="shared" si="26"/>
        <v>0</v>
      </c>
      <c r="AD77" s="507" t="s">
        <v>469</v>
      </c>
    </row>
    <row r="78" spans="1:30" ht="13.5" thickBot="1" x14ac:dyDescent="0.25">
      <c r="A78" s="502" t="s">
        <v>480</v>
      </c>
      <c r="B78" s="508"/>
      <c r="C78" s="504">
        <v>100</v>
      </c>
      <c r="D78" s="505">
        <v>0</v>
      </c>
      <c r="E78" s="506">
        <f t="shared" si="14"/>
        <v>0</v>
      </c>
      <c r="F78" s="505">
        <v>1.1000000000000001</v>
      </c>
      <c r="G78" s="506">
        <f t="shared" si="15"/>
        <v>0</v>
      </c>
      <c r="H78" s="505">
        <v>0.05</v>
      </c>
      <c r="I78" s="506">
        <f t="shared" si="16"/>
        <v>0</v>
      </c>
      <c r="J78" s="505">
        <v>1.2</v>
      </c>
      <c r="K78" s="506">
        <f t="shared" si="17"/>
        <v>0</v>
      </c>
      <c r="L78" s="505">
        <v>19</v>
      </c>
      <c r="M78" s="506">
        <f t="shared" si="18"/>
        <v>0</v>
      </c>
      <c r="N78" s="505">
        <v>208</v>
      </c>
      <c r="O78" s="506">
        <f t="shared" si="19"/>
        <v>0</v>
      </c>
      <c r="P78" s="505">
        <v>77</v>
      </c>
      <c r="Q78" s="506">
        <f t="shared" si="20"/>
        <v>0</v>
      </c>
      <c r="R78" s="505">
        <v>0.11</v>
      </c>
      <c r="S78" s="506">
        <f t="shared" si="21"/>
        <v>0</v>
      </c>
      <c r="T78" s="505">
        <v>0.04</v>
      </c>
      <c r="U78" s="506">
        <f t="shared" si="22"/>
        <v>0</v>
      </c>
      <c r="V78" s="505">
        <v>0.4</v>
      </c>
      <c r="W78" s="506">
        <f t="shared" si="23"/>
        <v>0</v>
      </c>
      <c r="X78" s="505">
        <v>0.17</v>
      </c>
      <c r="Y78" s="506">
        <f t="shared" si="24"/>
        <v>0</v>
      </c>
      <c r="Z78" s="505">
        <v>2</v>
      </c>
      <c r="AA78" s="506">
        <f t="shared" si="25"/>
        <v>0</v>
      </c>
      <c r="AB78" s="505">
        <v>0</v>
      </c>
      <c r="AC78" s="506">
        <f t="shared" si="26"/>
        <v>0</v>
      </c>
      <c r="AD78" s="507" t="s">
        <v>469</v>
      </c>
    </row>
    <row r="79" spans="1:30" ht="13.5" thickBot="1" x14ac:dyDescent="0.25">
      <c r="A79" s="502" t="s">
        <v>481</v>
      </c>
      <c r="B79" s="508"/>
      <c r="C79" s="504">
        <v>47</v>
      </c>
      <c r="D79" s="505">
        <v>0</v>
      </c>
      <c r="E79" s="506">
        <f t="shared" si="14"/>
        <v>0</v>
      </c>
      <c r="F79" s="505">
        <v>4.4000000000000004</v>
      </c>
      <c r="G79" s="506">
        <f t="shared" si="15"/>
        <v>0</v>
      </c>
      <c r="H79" s="505">
        <v>0.08</v>
      </c>
      <c r="I79" s="506">
        <f t="shared" si="16"/>
        <v>0</v>
      </c>
      <c r="J79" s="505">
        <v>1.8</v>
      </c>
      <c r="K79" s="506">
        <f t="shared" si="17"/>
        <v>0</v>
      </c>
      <c r="L79" s="505">
        <v>47</v>
      </c>
      <c r="M79" s="506">
        <f t="shared" si="18"/>
        <v>0</v>
      </c>
      <c r="N79" s="505">
        <v>202</v>
      </c>
      <c r="O79" s="506">
        <f t="shared" si="19"/>
        <v>0</v>
      </c>
      <c r="P79" s="505">
        <v>101</v>
      </c>
      <c r="Q79" s="506">
        <f t="shared" si="20"/>
        <v>0</v>
      </c>
      <c r="R79" s="505">
        <v>0.42</v>
      </c>
      <c r="S79" s="506">
        <f t="shared" si="21"/>
        <v>0</v>
      </c>
      <c r="T79" s="505">
        <v>0.18</v>
      </c>
      <c r="U79" s="506">
        <f t="shared" si="22"/>
        <v>0</v>
      </c>
      <c r="V79" s="505">
        <v>1</v>
      </c>
      <c r="W79" s="506">
        <f t="shared" si="23"/>
        <v>0</v>
      </c>
      <c r="X79" s="505">
        <v>0.12</v>
      </c>
      <c r="Y79" s="506">
        <f t="shared" si="24"/>
        <v>0</v>
      </c>
      <c r="Z79" s="505">
        <v>28</v>
      </c>
      <c r="AA79" s="506">
        <f t="shared" si="25"/>
        <v>0</v>
      </c>
      <c r="AB79" s="505">
        <v>0</v>
      </c>
      <c r="AC79" s="506">
        <f t="shared" si="26"/>
        <v>0</v>
      </c>
      <c r="AD79" s="507" t="s">
        <v>469</v>
      </c>
    </row>
    <row r="80" spans="1:30" ht="13.5" thickBot="1" x14ac:dyDescent="0.25">
      <c r="A80" s="502" t="s">
        <v>482</v>
      </c>
      <c r="B80" s="508"/>
      <c r="C80" s="504">
        <v>100</v>
      </c>
      <c r="D80" s="505">
        <v>0</v>
      </c>
      <c r="E80" s="506">
        <f t="shared" si="14"/>
        <v>0</v>
      </c>
      <c r="F80" s="505">
        <v>2</v>
      </c>
      <c r="G80" s="506">
        <f t="shared" si="15"/>
        <v>0</v>
      </c>
      <c r="H80" s="505">
        <v>0.28999999999999998</v>
      </c>
      <c r="I80" s="506">
        <f t="shared" si="16"/>
        <v>0</v>
      </c>
      <c r="J80" s="505">
        <v>1.7</v>
      </c>
      <c r="K80" s="506">
        <f t="shared" si="17"/>
        <v>0</v>
      </c>
      <c r="L80" s="505">
        <v>30</v>
      </c>
      <c r="M80" s="506">
        <f t="shared" si="18"/>
        <v>0</v>
      </c>
      <c r="N80" s="505">
        <v>128</v>
      </c>
      <c r="O80" s="506">
        <f t="shared" si="19"/>
        <v>0</v>
      </c>
      <c r="P80" s="505">
        <v>73</v>
      </c>
      <c r="Q80" s="506">
        <f t="shared" si="20"/>
        <v>0</v>
      </c>
      <c r="R80" s="505">
        <v>0.13</v>
      </c>
      <c r="S80" s="506">
        <f t="shared" si="21"/>
        <v>0</v>
      </c>
      <c r="T80" s="505">
        <v>0.1</v>
      </c>
      <c r="U80" s="506">
        <f t="shared" si="22"/>
        <v>0</v>
      </c>
      <c r="V80" s="505">
        <v>2.1</v>
      </c>
      <c r="W80" s="506">
        <f t="shared" si="23"/>
        <v>0</v>
      </c>
      <c r="X80" s="505">
        <v>0.06</v>
      </c>
      <c r="Y80" s="506">
        <f t="shared" si="24"/>
        <v>0</v>
      </c>
      <c r="Z80" s="505">
        <v>8</v>
      </c>
      <c r="AA80" s="506">
        <f t="shared" si="25"/>
        <v>0</v>
      </c>
      <c r="AB80" s="505">
        <v>0</v>
      </c>
      <c r="AC80" s="506">
        <f t="shared" si="26"/>
        <v>0</v>
      </c>
      <c r="AD80" s="507" t="s">
        <v>469</v>
      </c>
    </row>
    <row r="81" spans="1:30" ht="13.5" thickBot="1" x14ac:dyDescent="0.25">
      <c r="A81" s="502" t="s">
        <v>483</v>
      </c>
      <c r="B81" s="508"/>
      <c r="C81" s="504">
        <v>67</v>
      </c>
      <c r="D81" s="505">
        <v>0</v>
      </c>
      <c r="E81" s="506">
        <f t="shared" si="14"/>
        <v>0</v>
      </c>
      <c r="F81" s="505">
        <v>2</v>
      </c>
      <c r="G81" s="506">
        <f t="shared" si="15"/>
        <v>0</v>
      </c>
      <c r="H81" s="505">
        <v>0.28999999999999998</v>
      </c>
      <c r="I81" s="506">
        <f t="shared" si="16"/>
        <v>0</v>
      </c>
      <c r="J81" s="505">
        <v>1.7</v>
      </c>
      <c r="K81" s="506">
        <f t="shared" si="17"/>
        <v>0</v>
      </c>
      <c r="L81" s="505">
        <v>30</v>
      </c>
      <c r="M81" s="506">
        <f t="shared" si="18"/>
        <v>0</v>
      </c>
      <c r="N81" s="505">
        <v>128</v>
      </c>
      <c r="O81" s="506">
        <f t="shared" si="19"/>
        <v>0</v>
      </c>
      <c r="P81" s="505">
        <v>73</v>
      </c>
      <c r="Q81" s="506">
        <f t="shared" si="20"/>
        <v>0</v>
      </c>
      <c r="R81" s="505">
        <v>0.13</v>
      </c>
      <c r="S81" s="506">
        <f t="shared" si="21"/>
        <v>0</v>
      </c>
      <c r="T81" s="505">
        <v>0.1</v>
      </c>
      <c r="U81" s="506">
        <f t="shared" si="22"/>
        <v>0</v>
      </c>
      <c r="V81" s="505">
        <v>2.1</v>
      </c>
      <c r="W81" s="506">
        <f t="shared" si="23"/>
        <v>0</v>
      </c>
      <c r="X81" s="505">
        <v>0.06</v>
      </c>
      <c r="Y81" s="506">
        <f t="shared" si="24"/>
        <v>0</v>
      </c>
      <c r="Z81" s="505">
        <v>8</v>
      </c>
      <c r="AA81" s="506">
        <f t="shared" si="25"/>
        <v>0</v>
      </c>
      <c r="AB81" s="505">
        <v>0</v>
      </c>
      <c r="AC81" s="506">
        <f t="shared" si="26"/>
        <v>0</v>
      </c>
      <c r="AD81" s="507" t="s">
        <v>469</v>
      </c>
    </row>
    <row r="82" spans="1:30" ht="13.5" thickBot="1" x14ac:dyDescent="0.25">
      <c r="A82" s="502" t="s">
        <v>484</v>
      </c>
      <c r="B82" s="508"/>
      <c r="C82" s="504">
        <v>100</v>
      </c>
      <c r="D82" s="505">
        <v>0</v>
      </c>
      <c r="E82" s="506">
        <f t="shared" si="14"/>
        <v>0</v>
      </c>
      <c r="F82" s="505">
        <v>4.0999999999999996</v>
      </c>
      <c r="G82" s="506">
        <f t="shared" si="15"/>
        <v>0</v>
      </c>
      <c r="H82" s="505">
        <v>0.15</v>
      </c>
      <c r="I82" s="506">
        <f t="shared" si="16"/>
        <v>0</v>
      </c>
      <c r="J82" s="505">
        <v>1.5</v>
      </c>
      <c r="K82" s="506">
        <f t="shared" si="17"/>
        <v>0</v>
      </c>
      <c r="L82" s="505">
        <v>33</v>
      </c>
      <c r="M82" s="506">
        <f t="shared" si="18"/>
        <v>0</v>
      </c>
      <c r="N82" s="505">
        <v>190</v>
      </c>
      <c r="O82" s="506">
        <f t="shared" si="19"/>
        <v>0</v>
      </c>
      <c r="P82" s="505">
        <v>90</v>
      </c>
      <c r="Q82" s="506">
        <f t="shared" si="20"/>
        <v>0</v>
      </c>
      <c r="R82" s="505">
        <v>0.32</v>
      </c>
      <c r="S82" s="506">
        <f t="shared" si="21"/>
        <v>0</v>
      </c>
      <c r="T82" s="505">
        <v>0.1</v>
      </c>
      <c r="U82" s="506">
        <f t="shared" si="22"/>
        <v>0</v>
      </c>
      <c r="V82" s="505">
        <v>2.1</v>
      </c>
      <c r="W82" s="506">
        <f t="shared" si="23"/>
        <v>0</v>
      </c>
      <c r="X82" s="505">
        <v>0.1</v>
      </c>
      <c r="Y82" s="506">
        <f t="shared" si="24"/>
        <v>0</v>
      </c>
      <c r="Z82" s="505">
        <v>17</v>
      </c>
      <c r="AA82" s="506">
        <f t="shared" si="25"/>
        <v>0</v>
      </c>
      <c r="AB82" s="505">
        <v>0</v>
      </c>
      <c r="AC82" s="506">
        <f t="shared" si="26"/>
        <v>0</v>
      </c>
      <c r="AD82" s="507" t="s">
        <v>469</v>
      </c>
    </row>
    <row r="83" spans="1:30" ht="13.5" thickBot="1" x14ac:dyDescent="0.25">
      <c r="A83" s="502" t="s">
        <v>485</v>
      </c>
      <c r="B83" s="508"/>
      <c r="C83" s="504">
        <v>100</v>
      </c>
      <c r="D83" s="505">
        <v>0</v>
      </c>
      <c r="E83" s="506">
        <f t="shared" si="14"/>
        <v>0</v>
      </c>
      <c r="F83" s="505">
        <v>11</v>
      </c>
      <c r="G83" s="506">
        <f t="shared" si="15"/>
        <v>0</v>
      </c>
      <c r="H83" s="505">
        <v>2.54</v>
      </c>
      <c r="I83" s="506">
        <f t="shared" si="16"/>
        <v>0</v>
      </c>
      <c r="J83" s="505">
        <v>6.9</v>
      </c>
      <c r="K83" s="506">
        <f t="shared" si="17"/>
        <v>0</v>
      </c>
      <c r="L83" s="505">
        <v>257</v>
      </c>
      <c r="M83" s="506">
        <f t="shared" si="18"/>
        <v>0</v>
      </c>
      <c r="N83" s="505">
        <v>1740</v>
      </c>
      <c r="O83" s="506">
        <f t="shared" si="19"/>
        <v>0</v>
      </c>
      <c r="P83" s="505">
        <v>591</v>
      </c>
      <c r="Q83" s="506">
        <f t="shared" si="20"/>
        <v>0</v>
      </c>
      <c r="R83" s="505">
        <v>0.99</v>
      </c>
      <c r="S83" s="506">
        <f t="shared" si="21"/>
        <v>0</v>
      </c>
      <c r="T83" s="505">
        <v>0.52</v>
      </c>
      <c r="U83" s="506">
        <f t="shared" si="22"/>
        <v>0</v>
      </c>
      <c r="V83" s="505">
        <v>2.5</v>
      </c>
      <c r="W83" s="506">
        <f t="shared" si="23"/>
        <v>0</v>
      </c>
      <c r="X83" s="505">
        <v>0.38</v>
      </c>
      <c r="Y83" s="506">
        <f t="shared" si="24"/>
        <v>0</v>
      </c>
      <c r="Z83" s="505">
        <v>2</v>
      </c>
      <c r="AA83" s="506">
        <f t="shared" si="25"/>
        <v>0</v>
      </c>
      <c r="AB83" s="505">
        <v>0</v>
      </c>
      <c r="AC83" s="506">
        <f t="shared" si="26"/>
        <v>0</v>
      </c>
      <c r="AD83" s="507" t="s">
        <v>469</v>
      </c>
    </row>
    <row r="84" spans="1:30" ht="13.5" thickBot="1" x14ac:dyDescent="0.25">
      <c r="A84" s="502" t="s">
        <v>486</v>
      </c>
      <c r="B84" s="508"/>
      <c r="C84" s="504">
        <v>100</v>
      </c>
      <c r="D84" s="505">
        <v>31</v>
      </c>
      <c r="E84" s="506">
        <f t="shared" si="14"/>
        <v>0</v>
      </c>
      <c r="F84" s="505">
        <v>2</v>
      </c>
      <c r="G84" s="506">
        <f t="shared" si="15"/>
        <v>0</v>
      </c>
      <c r="H84" s="505">
        <v>15.89</v>
      </c>
      <c r="I84" s="506">
        <f t="shared" si="16"/>
        <v>0</v>
      </c>
      <c r="J84" s="505">
        <v>0.7</v>
      </c>
      <c r="K84" s="506">
        <f t="shared" si="17"/>
        <v>0</v>
      </c>
      <c r="L84" s="505">
        <v>770</v>
      </c>
      <c r="M84" s="506">
        <f t="shared" si="18"/>
        <v>0</v>
      </c>
      <c r="N84" s="505">
        <v>97</v>
      </c>
      <c r="O84" s="506">
        <f t="shared" si="19"/>
        <v>0</v>
      </c>
      <c r="P84" s="505">
        <v>530</v>
      </c>
      <c r="Q84" s="506">
        <f t="shared" si="20"/>
        <v>0</v>
      </c>
      <c r="R84" s="505">
        <v>0.03</v>
      </c>
      <c r="S84" s="506">
        <f t="shared" si="21"/>
        <v>0</v>
      </c>
      <c r="T84" s="505">
        <v>0.35</v>
      </c>
      <c r="U84" s="506">
        <f t="shared" si="22"/>
        <v>0</v>
      </c>
      <c r="V84" s="505">
        <v>0.1</v>
      </c>
      <c r="W84" s="506">
        <f t="shared" si="23"/>
        <v>0</v>
      </c>
      <c r="X84" s="505">
        <v>0.09</v>
      </c>
      <c r="Y84" s="506">
        <f t="shared" si="24"/>
        <v>0</v>
      </c>
      <c r="Z84" s="505">
        <v>2</v>
      </c>
      <c r="AA84" s="506">
        <f t="shared" si="25"/>
        <v>0</v>
      </c>
      <c r="AB84" s="505">
        <v>0</v>
      </c>
      <c r="AC84" s="506">
        <f t="shared" si="26"/>
        <v>0</v>
      </c>
      <c r="AD84" s="507" t="s">
        <v>487</v>
      </c>
    </row>
    <row r="85" spans="1:30" ht="13.5" thickBot="1" x14ac:dyDescent="0.25">
      <c r="A85" s="502" t="s">
        <v>488</v>
      </c>
      <c r="B85" s="508"/>
      <c r="C85" s="504">
        <v>100</v>
      </c>
      <c r="D85" s="505">
        <v>17</v>
      </c>
      <c r="E85" s="506">
        <f t="shared" si="14"/>
        <v>0</v>
      </c>
      <c r="F85" s="505">
        <v>2</v>
      </c>
      <c r="G85" s="506">
        <f t="shared" si="15"/>
        <v>0</v>
      </c>
      <c r="H85" s="505">
        <v>13.65</v>
      </c>
      <c r="I85" s="506">
        <f t="shared" si="16"/>
        <v>0</v>
      </c>
      <c r="J85" s="505">
        <v>0.3</v>
      </c>
      <c r="K85" s="506">
        <f t="shared" si="17"/>
        <v>0</v>
      </c>
      <c r="L85" s="505">
        <v>440</v>
      </c>
      <c r="M85" s="506">
        <f t="shared" si="18"/>
        <v>0</v>
      </c>
      <c r="N85" s="505">
        <v>125</v>
      </c>
      <c r="O85" s="506">
        <f t="shared" si="19"/>
        <v>0</v>
      </c>
      <c r="P85" s="505">
        <v>263</v>
      </c>
      <c r="Q85" s="506">
        <f t="shared" si="20"/>
        <v>0</v>
      </c>
      <c r="R85" s="505">
        <v>0.05</v>
      </c>
      <c r="S85" s="506">
        <f t="shared" si="21"/>
        <v>0</v>
      </c>
      <c r="T85" s="505">
        <v>0.36</v>
      </c>
      <c r="U85" s="506">
        <f t="shared" si="22"/>
        <v>0</v>
      </c>
      <c r="V85" s="505">
        <v>0.1</v>
      </c>
      <c r="W85" s="506">
        <f t="shared" si="23"/>
        <v>0</v>
      </c>
      <c r="X85" s="505">
        <v>0.08</v>
      </c>
      <c r="Y85" s="506">
        <f t="shared" si="24"/>
        <v>0</v>
      </c>
      <c r="Z85" s="505">
        <v>2</v>
      </c>
      <c r="AA85" s="506">
        <f t="shared" si="25"/>
        <v>0</v>
      </c>
      <c r="AB85" s="505">
        <v>0</v>
      </c>
      <c r="AC85" s="506">
        <f t="shared" si="26"/>
        <v>0</v>
      </c>
      <c r="AD85" s="507" t="s">
        <v>487</v>
      </c>
    </row>
    <row r="86" spans="1:30" ht="13.5" thickBot="1" x14ac:dyDescent="0.25">
      <c r="A86" s="502" t="s">
        <v>489</v>
      </c>
      <c r="B86" s="508"/>
      <c r="C86" s="504">
        <v>100</v>
      </c>
      <c r="D86" s="505">
        <v>28</v>
      </c>
      <c r="E86" s="506">
        <f t="shared" si="14"/>
        <v>0</v>
      </c>
      <c r="F86" s="505">
        <v>3.6</v>
      </c>
      <c r="G86" s="506">
        <f t="shared" si="15"/>
        <v>0</v>
      </c>
      <c r="H86" s="505">
        <v>18.399999999999999</v>
      </c>
      <c r="I86" s="506">
        <f t="shared" si="16"/>
        <v>0</v>
      </c>
      <c r="J86" s="505">
        <v>0.3</v>
      </c>
      <c r="K86" s="506">
        <f t="shared" si="17"/>
        <v>0</v>
      </c>
      <c r="L86" s="505">
        <v>1145</v>
      </c>
      <c r="M86" s="506">
        <f t="shared" si="18"/>
        <v>0</v>
      </c>
      <c r="N86" s="505">
        <v>107</v>
      </c>
      <c r="O86" s="506">
        <f t="shared" si="19"/>
        <v>0</v>
      </c>
      <c r="P86" s="505">
        <v>700</v>
      </c>
      <c r="Q86" s="506">
        <f t="shared" si="20"/>
        <v>0</v>
      </c>
      <c r="R86" s="505">
        <v>0.01</v>
      </c>
      <c r="S86" s="506">
        <f t="shared" si="21"/>
        <v>0</v>
      </c>
      <c r="T86" s="505">
        <v>0.45</v>
      </c>
      <c r="U86" s="506">
        <f t="shared" si="22"/>
        <v>0</v>
      </c>
      <c r="V86" s="505">
        <v>0.1</v>
      </c>
      <c r="W86" s="506">
        <f t="shared" si="23"/>
        <v>0</v>
      </c>
      <c r="X86" s="505">
        <v>0.09</v>
      </c>
      <c r="Y86" s="506">
        <f t="shared" si="24"/>
        <v>0</v>
      </c>
      <c r="Z86" s="505">
        <v>1</v>
      </c>
      <c r="AA86" s="506">
        <f t="shared" si="25"/>
        <v>0</v>
      </c>
      <c r="AB86" s="505">
        <v>0</v>
      </c>
      <c r="AC86" s="506">
        <f t="shared" si="26"/>
        <v>0</v>
      </c>
      <c r="AD86" s="507" t="s">
        <v>487</v>
      </c>
    </row>
    <row r="87" spans="1:30" ht="13.5" thickBot="1" x14ac:dyDescent="0.25">
      <c r="A87" s="502" t="s">
        <v>490</v>
      </c>
      <c r="B87" s="508"/>
      <c r="C87" s="504">
        <v>100</v>
      </c>
      <c r="D87" s="505">
        <v>24</v>
      </c>
      <c r="E87" s="506">
        <f t="shared" si="14"/>
        <v>0</v>
      </c>
      <c r="F87" s="505">
        <v>0.8</v>
      </c>
      <c r="G87" s="506">
        <f t="shared" si="15"/>
        <v>0</v>
      </c>
      <c r="H87" s="505">
        <v>14.73</v>
      </c>
      <c r="I87" s="506">
        <f t="shared" si="16"/>
        <v>0</v>
      </c>
      <c r="J87" s="505">
        <v>0.3</v>
      </c>
      <c r="K87" s="506">
        <f t="shared" si="17"/>
        <v>0</v>
      </c>
      <c r="L87" s="505">
        <v>870</v>
      </c>
      <c r="M87" s="506">
        <f t="shared" si="18"/>
        <v>0</v>
      </c>
      <c r="N87" s="505">
        <v>89</v>
      </c>
      <c r="O87" s="506">
        <f t="shared" si="19"/>
        <v>0</v>
      </c>
      <c r="P87" s="505">
        <v>561</v>
      </c>
      <c r="Q87" s="506">
        <f t="shared" si="20"/>
        <v>0</v>
      </c>
      <c r="R87" s="505">
        <v>0.01</v>
      </c>
      <c r="S87" s="506">
        <f t="shared" si="21"/>
        <v>0</v>
      </c>
      <c r="T87" s="505">
        <v>0.45</v>
      </c>
      <c r="U87" s="506">
        <f t="shared" si="22"/>
        <v>0</v>
      </c>
      <c r="V87" s="505">
        <v>0.2</v>
      </c>
      <c r="W87" s="506">
        <f t="shared" si="23"/>
        <v>0</v>
      </c>
      <c r="X87" s="505">
        <v>0.08</v>
      </c>
      <c r="Y87" s="506">
        <f t="shared" si="24"/>
        <v>0</v>
      </c>
      <c r="Z87" s="505">
        <v>0</v>
      </c>
      <c r="AA87" s="506">
        <f t="shared" si="25"/>
        <v>0</v>
      </c>
      <c r="AB87" s="505">
        <v>0</v>
      </c>
      <c r="AC87" s="506">
        <f t="shared" si="26"/>
        <v>0</v>
      </c>
      <c r="AD87" s="507" t="s">
        <v>487</v>
      </c>
    </row>
    <row r="88" spans="1:30" ht="13.5" thickBot="1" x14ac:dyDescent="0.25">
      <c r="A88" s="502" t="s">
        <v>491</v>
      </c>
      <c r="B88" s="508"/>
      <c r="C88" s="504">
        <v>100</v>
      </c>
      <c r="D88" s="505">
        <v>11</v>
      </c>
      <c r="E88" s="506">
        <f t="shared" si="14"/>
        <v>0</v>
      </c>
      <c r="F88" s="505">
        <v>6</v>
      </c>
      <c r="G88" s="506">
        <f t="shared" si="15"/>
        <v>0</v>
      </c>
      <c r="H88" s="505">
        <v>16.079999999999998</v>
      </c>
      <c r="I88" s="506">
        <f t="shared" si="16"/>
        <v>0</v>
      </c>
      <c r="J88" s="505">
        <v>0.3</v>
      </c>
      <c r="K88" s="506">
        <f t="shared" si="17"/>
        <v>0</v>
      </c>
      <c r="L88" s="505">
        <v>430</v>
      </c>
      <c r="M88" s="506">
        <f t="shared" si="18"/>
        <v>0</v>
      </c>
      <c r="N88" s="505">
        <v>108</v>
      </c>
      <c r="O88" s="506">
        <f t="shared" si="19"/>
        <v>0</v>
      </c>
      <c r="P88" s="505">
        <v>650</v>
      </c>
      <c r="Q88" s="506">
        <f t="shared" si="20"/>
        <v>0</v>
      </c>
      <c r="R88" s="505">
        <v>0.02</v>
      </c>
      <c r="S88" s="506">
        <f t="shared" si="21"/>
        <v>0</v>
      </c>
      <c r="T88" s="505">
        <v>0.3</v>
      </c>
      <c r="U88" s="506">
        <f t="shared" si="22"/>
        <v>0</v>
      </c>
      <c r="V88" s="505">
        <v>0.1</v>
      </c>
      <c r="W88" s="506">
        <f t="shared" si="23"/>
        <v>0</v>
      </c>
      <c r="X88" s="505">
        <v>0.08</v>
      </c>
      <c r="Y88" s="506">
        <f t="shared" si="24"/>
        <v>0</v>
      </c>
      <c r="Z88" s="505">
        <v>0</v>
      </c>
      <c r="AA88" s="506">
        <f t="shared" si="25"/>
        <v>0</v>
      </c>
      <c r="AB88" s="505">
        <v>0</v>
      </c>
      <c r="AC88" s="506">
        <f t="shared" si="26"/>
        <v>0</v>
      </c>
      <c r="AD88" s="507" t="s">
        <v>487</v>
      </c>
    </row>
    <row r="89" spans="1:30" ht="13.5" thickBot="1" x14ac:dyDescent="0.25">
      <c r="A89" s="502" t="s">
        <v>492</v>
      </c>
      <c r="B89" s="508"/>
      <c r="C89" s="504">
        <v>100</v>
      </c>
      <c r="D89" s="505">
        <v>19</v>
      </c>
      <c r="E89" s="506">
        <f t="shared" si="14"/>
        <v>0</v>
      </c>
      <c r="F89" s="505">
        <v>0.1</v>
      </c>
      <c r="G89" s="506">
        <f t="shared" si="15"/>
        <v>0</v>
      </c>
      <c r="H89" s="505">
        <v>15.08</v>
      </c>
      <c r="I89" s="506">
        <f t="shared" si="16"/>
        <v>0</v>
      </c>
      <c r="J89" s="505">
        <v>0.3</v>
      </c>
      <c r="K89" s="506">
        <f t="shared" si="17"/>
        <v>0</v>
      </c>
      <c r="L89" s="505">
        <v>612</v>
      </c>
      <c r="M89" s="506">
        <f t="shared" si="18"/>
        <v>0</v>
      </c>
      <c r="N89" s="505">
        <v>138</v>
      </c>
      <c r="O89" s="506">
        <f t="shared" si="19"/>
        <v>0</v>
      </c>
      <c r="P89" s="505">
        <v>356</v>
      </c>
      <c r="Q89" s="506">
        <f t="shared" si="20"/>
        <v>0</v>
      </c>
      <c r="R89" s="505">
        <v>0.01</v>
      </c>
      <c r="S89" s="506">
        <f t="shared" si="21"/>
        <v>0</v>
      </c>
      <c r="T89" s="505">
        <v>0.18</v>
      </c>
      <c r="U89" s="506">
        <f t="shared" si="22"/>
        <v>0</v>
      </c>
      <c r="V89" s="505">
        <v>0.9</v>
      </c>
      <c r="W89" s="506">
        <f t="shared" si="23"/>
        <v>0</v>
      </c>
      <c r="X89" s="505">
        <v>7.0000000000000007E-2</v>
      </c>
      <c r="Y89" s="506">
        <f t="shared" si="24"/>
        <v>0</v>
      </c>
      <c r="Z89" s="505">
        <v>0</v>
      </c>
      <c r="AA89" s="506">
        <f t="shared" si="25"/>
        <v>0</v>
      </c>
      <c r="AB89" s="505">
        <v>0</v>
      </c>
      <c r="AC89" s="506">
        <f t="shared" si="26"/>
        <v>0</v>
      </c>
      <c r="AD89" s="507" t="s">
        <v>487</v>
      </c>
    </row>
    <row r="90" spans="1:30" ht="13.5" thickBot="1" x14ac:dyDescent="0.25">
      <c r="A90" s="502" t="s">
        <v>493</v>
      </c>
      <c r="B90" s="508"/>
      <c r="C90" s="504">
        <v>100</v>
      </c>
      <c r="D90" s="505">
        <v>35</v>
      </c>
      <c r="E90" s="506">
        <f t="shared" si="14"/>
        <v>0</v>
      </c>
      <c r="F90" s="505">
        <v>3.7</v>
      </c>
      <c r="G90" s="506">
        <f t="shared" si="15"/>
        <v>0</v>
      </c>
      <c r="H90" s="505">
        <v>16.5</v>
      </c>
      <c r="I90" s="506">
        <f t="shared" si="16"/>
        <v>0</v>
      </c>
      <c r="J90" s="505">
        <v>0.8</v>
      </c>
      <c r="K90" s="506">
        <f t="shared" si="17"/>
        <v>0</v>
      </c>
      <c r="L90" s="505">
        <v>1290</v>
      </c>
      <c r="M90" s="506">
        <f t="shared" si="18"/>
        <v>0</v>
      </c>
      <c r="N90" s="505">
        <v>100</v>
      </c>
      <c r="O90" s="506">
        <f t="shared" si="19"/>
        <v>0</v>
      </c>
      <c r="P90" s="505">
        <v>702</v>
      </c>
      <c r="Q90" s="506">
        <f t="shared" si="20"/>
        <v>0</v>
      </c>
      <c r="R90" s="505">
        <v>0.02</v>
      </c>
      <c r="S90" s="506">
        <f t="shared" si="21"/>
        <v>0</v>
      </c>
      <c r="T90" s="505">
        <v>0.12</v>
      </c>
      <c r="U90" s="506">
        <f t="shared" si="22"/>
        <v>0</v>
      </c>
      <c r="V90" s="505">
        <v>0.1</v>
      </c>
      <c r="W90" s="506">
        <f t="shared" si="23"/>
        <v>0</v>
      </c>
      <c r="X90" s="505">
        <v>0.1</v>
      </c>
      <c r="Y90" s="506">
        <f t="shared" si="24"/>
        <v>0</v>
      </c>
      <c r="Z90" s="505">
        <v>0</v>
      </c>
      <c r="AA90" s="506">
        <f t="shared" si="25"/>
        <v>0</v>
      </c>
      <c r="AB90" s="505">
        <v>0</v>
      </c>
      <c r="AC90" s="506">
        <f t="shared" si="26"/>
        <v>0</v>
      </c>
      <c r="AD90" s="507" t="s">
        <v>487</v>
      </c>
    </row>
    <row r="91" spans="1:30" ht="13.5" thickBot="1" x14ac:dyDescent="0.25">
      <c r="A91" s="502" t="s">
        <v>494</v>
      </c>
      <c r="B91" s="508"/>
      <c r="C91" s="504">
        <v>100</v>
      </c>
      <c r="D91" s="505">
        <v>7</v>
      </c>
      <c r="E91" s="506">
        <f t="shared" si="14"/>
        <v>0</v>
      </c>
      <c r="F91" s="505">
        <v>2</v>
      </c>
      <c r="G91" s="506">
        <f t="shared" si="15"/>
        <v>0</v>
      </c>
      <c r="H91" s="505">
        <v>29.17</v>
      </c>
      <c r="I91" s="506">
        <f t="shared" si="16"/>
        <v>0</v>
      </c>
      <c r="J91" s="505">
        <v>0.2</v>
      </c>
      <c r="K91" s="506">
        <f t="shared" si="17"/>
        <v>0</v>
      </c>
      <c r="L91" s="505">
        <v>68</v>
      </c>
      <c r="M91" s="506">
        <f t="shared" si="18"/>
        <v>0</v>
      </c>
      <c r="N91" s="505">
        <v>53</v>
      </c>
      <c r="O91" s="506">
        <f t="shared" si="19"/>
        <v>66.25</v>
      </c>
      <c r="P91" s="505">
        <v>97</v>
      </c>
      <c r="Q91" s="506">
        <f t="shared" si="20"/>
        <v>0</v>
      </c>
      <c r="R91" s="505">
        <v>0.01</v>
      </c>
      <c r="S91" s="506">
        <f t="shared" si="21"/>
        <v>0</v>
      </c>
      <c r="T91" s="505">
        <v>0.22</v>
      </c>
      <c r="U91" s="506">
        <f t="shared" si="22"/>
        <v>0</v>
      </c>
      <c r="V91" s="505">
        <v>0.1</v>
      </c>
      <c r="W91" s="506">
        <f t="shared" si="23"/>
        <v>0</v>
      </c>
      <c r="X91" s="505">
        <v>0.04</v>
      </c>
      <c r="Y91" s="506">
        <f t="shared" si="24"/>
        <v>0</v>
      </c>
      <c r="Z91" s="505">
        <v>0</v>
      </c>
      <c r="AA91" s="506">
        <f t="shared" si="25"/>
        <v>0</v>
      </c>
      <c r="AB91" s="505">
        <v>0</v>
      </c>
      <c r="AC91" s="506">
        <f t="shared" si="26"/>
        <v>0</v>
      </c>
      <c r="AD91" s="507" t="s">
        <v>487</v>
      </c>
    </row>
    <row r="92" spans="1:30" ht="13.5" thickBot="1" x14ac:dyDescent="0.25">
      <c r="A92" s="502" t="s">
        <v>495</v>
      </c>
      <c r="B92" s="508">
        <v>125</v>
      </c>
      <c r="C92" s="504">
        <v>100</v>
      </c>
      <c r="D92" s="505">
        <v>19</v>
      </c>
      <c r="E92" s="506">
        <f t="shared" si="14"/>
        <v>23.75</v>
      </c>
      <c r="F92" s="505">
        <v>4.9000000000000004</v>
      </c>
      <c r="G92" s="506">
        <f t="shared" si="15"/>
        <v>6.125</v>
      </c>
      <c r="H92" s="505">
        <v>10.01</v>
      </c>
      <c r="I92" s="506">
        <f t="shared" si="16"/>
        <v>12.512499999999999</v>
      </c>
      <c r="J92" s="505">
        <v>0.2</v>
      </c>
      <c r="K92" s="506">
        <f t="shared" si="17"/>
        <v>0.25</v>
      </c>
      <c r="L92" s="505">
        <v>403</v>
      </c>
      <c r="M92" s="506">
        <f t="shared" si="18"/>
        <v>503.75</v>
      </c>
      <c r="N92" s="505">
        <v>38</v>
      </c>
      <c r="O92" s="506">
        <f t="shared" si="19"/>
        <v>125.4</v>
      </c>
      <c r="P92" s="505">
        <v>239</v>
      </c>
      <c r="Q92" s="506">
        <f t="shared" si="20"/>
        <v>298.75</v>
      </c>
      <c r="R92" s="505">
        <v>0.05</v>
      </c>
      <c r="S92" s="506">
        <f t="shared" si="21"/>
        <v>6.25E-2</v>
      </c>
      <c r="T92" s="505">
        <v>0.51</v>
      </c>
      <c r="U92" s="506">
        <f t="shared" si="22"/>
        <v>0.63749999999999996</v>
      </c>
      <c r="V92" s="505">
        <v>0.4</v>
      </c>
      <c r="W92" s="506">
        <f t="shared" si="23"/>
        <v>0.5</v>
      </c>
      <c r="X92" s="505">
        <v>7.0000000000000007E-2</v>
      </c>
      <c r="Y92" s="506">
        <f t="shared" si="24"/>
        <v>8.7499999999999994E-2</v>
      </c>
      <c r="Z92" s="505">
        <v>2</v>
      </c>
      <c r="AA92" s="506">
        <f t="shared" si="25"/>
        <v>2.5</v>
      </c>
      <c r="AB92" s="505">
        <v>0</v>
      </c>
      <c r="AC92" s="506">
        <f t="shared" si="26"/>
        <v>0</v>
      </c>
      <c r="AD92" s="507" t="s">
        <v>487</v>
      </c>
    </row>
    <row r="93" spans="1:30" ht="13.5" thickBot="1" x14ac:dyDescent="0.25">
      <c r="A93" s="502" t="s">
        <v>496</v>
      </c>
      <c r="B93" s="508">
        <v>330</v>
      </c>
      <c r="C93" s="504">
        <v>100</v>
      </c>
      <c r="D93" s="505">
        <v>36</v>
      </c>
      <c r="E93" s="506">
        <f t="shared" si="14"/>
        <v>118.8</v>
      </c>
      <c r="F93" s="505">
        <v>2</v>
      </c>
      <c r="G93" s="506">
        <f t="shared" si="15"/>
        <v>6.6</v>
      </c>
      <c r="H93" s="505">
        <v>16.89</v>
      </c>
      <c r="I93" s="506">
        <f t="shared" si="16"/>
        <v>55.736999999999995</v>
      </c>
      <c r="J93" s="505">
        <v>0.7</v>
      </c>
      <c r="K93" s="506">
        <f t="shared" si="17"/>
        <v>2.3099999999999996</v>
      </c>
      <c r="L93" s="505">
        <v>1340</v>
      </c>
      <c r="M93" s="506">
        <f t="shared" si="18"/>
        <v>4422</v>
      </c>
      <c r="N93" s="505">
        <v>100</v>
      </c>
      <c r="O93" s="506">
        <f t="shared" si="19"/>
        <v>0</v>
      </c>
      <c r="P93" s="505">
        <v>800</v>
      </c>
      <c r="Q93" s="506">
        <f t="shared" si="20"/>
        <v>2640</v>
      </c>
      <c r="R93" s="505">
        <v>0.02</v>
      </c>
      <c r="S93" s="506">
        <f t="shared" si="21"/>
        <v>6.6000000000000003E-2</v>
      </c>
      <c r="T93" s="505">
        <v>0.11</v>
      </c>
      <c r="U93" s="506">
        <f t="shared" si="22"/>
        <v>0.36299999999999999</v>
      </c>
      <c r="V93" s="505">
        <v>0.1</v>
      </c>
      <c r="W93" s="506">
        <f t="shared" si="23"/>
        <v>0.33</v>
      </c>
      <c r="X93" s="505">
        <v>0.1</v>
      </c>
      <c r="Y93" s="506">
        <f t="shared" si="24"/>
        <v>0.33</v>
      </c>
      <c r="Z93" s="505">
        <v>0</v>
      </c>
      <c r="AA93" s="506">
        <f t="shared" si="25"/>
        <v>0</v>
      </c>
      <c r="AB93" s="505">
        <v>0</v>
      </c>
      <c r="AC93" s="506">
        <f t="shared" si="26"/>
        <v>0</v>
      </c>
      <c r="AD93" s="507" t="s">
        <v>487</v>
      </c>
    </row>
    <row r="94" spans="1:30" ht="13.5" thickBot="1" x14ac:dyDescent="0.25">
      <c r="A94" s="502" t="s">
        <v>497</v>
      </c>
      <c r="B94" s="508"/>
      <c r="C94" s="504">
        <v>100</v>
      </c>
      <c r="D94" s="505">
        <v>28</v>
      </c>
      <c r="E94" s="506">
        <f t="shared" si="14"/>
        <v>0</v>
      </c>
      <c r="F94" s="505">
        <v>2</v>
      </c>
      <c r="G94" s="506">
        <f t="shared" si="15"/>
        <v>0</v>
      </c>
      <c r="H94" s="505">
        <v>17.79</v>
      </c>
      <c r="I94" s="506">
        <f t="shared" si="16"/>
        <v>0</v>
      </c>
      <c r="J94" s="505">
        <v>0.7</v>
      </c>
      <c r="K94" s="506">
        <f t="shared" si="17"/>
        <v>0</v>
      </c>
      <c r="L94" s="505">
        <v>1160</v>
      </c>
      <c r="M94" s="506">
        <f t="shared" si="18"/>
        <v>0</v>
      </c>
      <c r="N94" s="505">
        <v>94</v>
      </c>
      <c r="O94" s="506">
        <f t="shared" si="19"/>
        <v>0</v>
      </c>
      <c r="P94" s="505">
        <v>675</v>
      </c>
      <c r="Q94" s="506">
        <f t="shared" si="20"/>
        <v>0</v>
      </c>
      <c r="R94" s="505">
        <v>0.03</v>
      </c>
      <c r="S94" s="506">
        <f t="shared" si="21"/>
        <v>0</v>
      </c>
      <c r="T94" s="505">
        <v>0.47</v>
      </c>
      <c r="U94" s="506">
        <f t="shared" si="22"/>
        <v>0</v>
      </c>
      <c r="V94" s="505">
        <v>0.2</v>
      </c>
      <c r="W94" s="506">
        <f t="shared" si="23"/>
        <v>0</v>
      </c>
      <c r="X94" s="505">
        <v>0.09</v>
      </c>
      <c r="Y94" s="506">
        <f t="shared" si="24"/>
        <v>0</v>
      </c>
      <c r="Z94" s="505">
        <v>0</v>
      </c>
      <c r="AA94" s="506">
        <f t="shared" si="25"/>
        <v>0</v>
      </c>
      <c r="AB94" s="505">
        <v>0</v>
      </c>
      <c r="AC94" s="506">
        <f t="shared" si="26"/>
        <v>0</v>
      </c>
      <c r="AD94" s="507" t="s">
        <v>487</v>
      </c>
    </row>
    <row r="95" spans="1:30" ht="13.5" thickBot="1" x14ac:dyDescent="0.25">
      <c r="A95" s="502" t="s">
        <v>498</v>
      </c>
      <c r="B95" s="508"/>
      <c r="C95" s="504">
        <v>100</v>
      </c>
      <c r="D95" s="505">
        <v>26</v>
      </c>
      <c r="E95" s="506">
        <f t="shared" si="14"/>
        <v>0</v>
      </c>
      <c r="F95" s="505">
        <v>2.1</v>
      </c>
      <c r="G95" s="506">
        <f t="shared" si="15"/>
        <v>0</v>
      </c>
      <c r="H95" s="505">
        <v>17.09</v>
      </c>
      <c r="I95" s="506">
        <f t="shared" si="16"/>
        <v>0</v>
      </c>
      <c r="J95" s="505">
        <v>0.5</v>
      </c>
      <c r="K95" s="506">
        <f t="shared" si="17"/>
        <v>0</v>
      </c>
      <c r="L95" s="505">
        <v>881</v>
      </c>
      <c r="M95" s="506">
        <f t="shared" si="18"/>
        <v>0</v>
      </c>
      <c r="N95" s="505">
        <v>136</v>
      </c>
      <c r="O95" s="506">
        <f t="shared" si="19"/>
        <v>0</v>
      </c>
      <c r="P95" s="505">
        <v>576</v>
      </c>
      <c r="Q95" s="506">
        <f t="shared" si="20"/>
        <v>0</v>
      </c>
      <c r="R95" s="505">
        <v>0.02</v>
      </c>
      <c r="S95" s="506">
        <f t="shared" si="21"/>
        <v>0</v>
      </c>
      <c r="T95" s="505">
        <v>0.83</v>
      </c>
      <c r="U95" s="506">
        <f t="shared" si="22"/>
        <v>0</v>
      </c>
      <c r="V95" s="505">
        <v>0.6</v>
      </c>
      <c r="W95" s="506">
        <f t="shared" si="23"/>
        <v>0</v>
      </c>
      <c r="X95" s="505">
        <v>7.0000000000000007E-2</v>
      </c>
      <c r="Y95" s="506">
        <f t="shared" si="24"/>
        <v>0</v>
      </c>
      <c r="Z95" s="505">
        <v>0</v>
      </c>
      <c r="AA95" s="506">
        <f t="shared" si="25"/>
        <v>0</v>
      </c>
      <c r="AB95" s="505">
        <v>0</v>
      </c>
      <c r="AC95" s="506">
        <f t="shared" si="26"/>
        <v>0</v>
      </c>
      <c r="AD95" s="507" t="s">
        <v>487</v>
      </c>
    </row>
    <row r="96" spans="1:30" ht="13.5" thickBot="1" x14ac:dyDescent="0.25">
      <c r="A96" s="502" t="s">
        <v>499</v>
      </c>
      <c r="B96" s="508"/>
      <c r="C96" s="504">
        <v>100</v>
      </c>
      <c r="D96" s="505">
        <v>12</v>
      </c>
      <c r="E96" s="506">
        <f t="shared" si="14"/>
        <v>0</v>
      </c>
      <c r="F96" s="505">
        <v>4</v>
      </c>
      <c r="G96" s="506">
        <f t="shared" si="15"/>
        <v>0</v>
      </c>
      <c r="H96" s="505">
        <v>4.96</v>
      </c>
      <c r="I96" s="506">
        <f t="shared" si="16"/>
        <v>0</v>
      </c>
      <c r="J96" s="505">
        <v>0.5</v>
      </c>
      <c r="K96" s="506">
        <f t="shared" si="17"/>
        <v>0</v>
      </c>
      <c r="L96" s="505">
        <v>394</v>
      </c>
      <c r="M96" s="506">
        <f t="shared" si="18"/>
        <v>0</v>
      </c>
      <c r="N96" s="505">
        <v>110</v>
      </c>
      <c r="O96" s="506">
        <f t="shared" si="19"/>
        <v>33</v>
      </c>
      <c r="P96" s="505">
        <v>170</v>
      </c>
      <c r="Q96" s="506">
        <f t="shared" si="20"/>
        <v>0</v>
      </c>
      <c r="R96" s="505">
        <v>0.02</v>
      </c>
      <c r="S96" s="506">
        <f t="shared" si="21"/>
        <v>0</v>
      </c>
      <c r="T96" s="505">
        <v>0.19</v>
      </c>
      <c r="U96" s="506">
        <f t="shared" si="22"/>
        <v>0</v>
      </c>
      <c r="V96" s="505">
        <v>0.1</v>
      </c>
      <c r="W96" s="506">
        <f t="shared" si="23"/>
        <v>0</v>
      </c>
      <c r="X96" s="505">
        <v>0.03</v>
      </c>
      <c r="Y96" s="506">
        <f t="shared" si="24"/>
        <v>0</v>
      </c>
      <c r="Z96" s="505">
        <v>2</v>
      </c>
      <c r="AA96" s="506">
        <f t="shared" si="25"/>
        <v>0</v>
      </c>
      <c r="AB96" s="505">
        <v>0</v>
      </c>
      <c r="AC96" s="506">
        <f t="shared" si="26"/>
        <v>0</v>
      </c>
      <c r="AD96" s="507" t="s">
        <v>487</v>
      </c>
    </row>
    <row r="97" spans="1:30" ht="13.5" thickBot="1" x14ac:dyDescent="0.25">
      <c r="A97" s="502" t="s">
        <v>500</v>
      </c>
      <c r="B97" s="508">
        <v>30</v>
      </c>
      <c r="C97" s="504">
        <v>100</v>
      </c>
      <c r="D97" s="505">
        <v>20</v>
      </c>
      <c r="E97" s="506">
        <f t="shared" si="14"/>
        <v>6</v>
      </c>
      <c r="F97" s="505">
        <v>0.9</v>
      </c>
      <c r="G97" s="506">
        <f t="shared" si="15"/>
        <v>0.27</v>
      </c>
      <c r="H97" s="505">
        <v>16.14</v>
      </c>
      <c r="I97" s="506">
        <f t="shared" si="16"/>
        <v>4.8420000000000005</v>
      </c>
      <c r="J97" s="505">
        <v>0.5</v>
      </c>
      <c r="K97" s="506">
        <f t="shared" si="17"/>
        <v>0.15</v>
      </c>
      <c r="L97" s="505">
        <v>600</v>
      </c>
      <c r="M97" s="506">
        <f t="shared" si="18"/>
        <v>180</v>
      </c>
      <c r="N97" s="505">
        <v>130</v>
      </c>
      <c r="O97" s="506">
        <f t="shared" si="19"/>
        <v>0</v>
      </c>
      <c r="P97" s="505">
        <v>800</v>
      </c>
      <c r="Q97" s="506">
        <f t="shared" si="20"/>
        <v>240</v>
      </c>
      <c r="R97" s="505">
        <v>0.03</v>
      </c>
      <c r="S97" s="506">
        <f t="shared" si="21"/>
        <v>8.9999999999999993E-3</v>
      </c>
      <c r="T97" s="505">
        <v>0.28000000000000003</v>
      </c>
      <c r="U97" s="506">
        <f t="shared" si="22"/>
        <v>8.4000000000000005E-2</v>
      </c>
      <c r="V97" s="505">
        <v>0.1</v>
      </c>
      <c r="W97" s="506">
        <f t="shared" si="23"/>
        <v>0.03</v>
      </c>
      <c r="X97" s="505">
        <v>0.08</v>
      </c>
      <c r="Y97" s="506">
        <f t="shared" si="24"/>
        <v>2.4E-2</v>
      </c>
      <c r="Z97" s="505">
        <v>2</v>
      </c>
      <c r="AA97" s="506">
        <f t="shared" si="25"/>
        <v>0.6</v>
      </c>
      <c r="AB97" s="505">
        <v>0</v>
      </c>
      <c r="AC97" s="506">
        <f t="shared" si="26"/>
        <v>0</v>
      </c>
      <c r="AD97" s="507" t="s">
        <v>487</v>
      </c>
    </row>
    <row r="98" spans="1:30" ht="13.5" thickBot="1" x14ac:dyDescent="0.25">
      <c r="A98" s="502" t="s">
        <v>501</v>
      </c>
      <c r="B98" s="508"/>
      <c r="C98" s="504">
        <v>100</v>
      </c>
      <c r="D98" s="505">
        <v>20</v>
      </c>
      <c r="E98" s="506">
        <f t="shared" si="14"/>
        <v>0</v>
      </c>
      <c r="F98" s="505">
        <v>2</v>
      </c>
      <c r="G98" s="506">
        <f t="shared" si="15"/>
        <v>0</v>
      </c>
      <c r="H98" s="505">
        <v>15.39</v>
      </c>
      <c r="I98" s="506">
        <f t="shared" si="16"/>
        <v>0</v>
      </c>
      <c r="J98" s="505">
        <v>0.6</v>
      </c>
      <c r="K98" s="506">
        <f t="shared" si="17"/>
        <v>0</v>
      </c>
      <c r="L98" s="505">
        <v>562</v>
      </c>
      <c r="M98" s="506">
        <f t="shared" si="18"/>
        <v>0</v>
      </c>
      <c r="N98" s="505">
        <v>121</v>
      </c>
      <c r="O98" s="506">
        <f t="shared" ref="O98:O103" si="27">N98*B99/100</f>
        <v>0</v>
      </c>
      <c r="P98" s="505">
        <v>310</v>
      </c>
      <c r="Q98" s="506">
        <f t="shared" si="20"/>
        <v>0</v>
      </c>
      <c r="R98" s="505">
        <v>0.05</v>
      </c>
      <c r="S98" s="506">
        <f t="shared" si="21"/>
        <v>0</v>
      </c>
      <c r="T98" s="505">
        <v>0.52</v>
      </c>
      <c r="U98" s="506">
        <f t="shared" si="22"/>
        <v>0</v>
      </c>
      <c r="V98" s="505">
        <v>1</v>
      </c>
      <c r="W98" s="506">
        <f t="shared" si="23"/>
        <v>0</v>
      </c>
      <c r="X98" s="505">
        <v>0.22</v>
      </c>
      <c r="Y98" s="506">
        <f t="shared" si="24"/>
        <v>0</v>
      </c>
      <c r="Z98" s="505">
        <v>2</v>
      </c>
      <c r="AA98" s="506">
        <f t="shared" si="25"/>
        <v>0</v>
      </c>
      <c r="AB98" s="505">
        <v>0</v>
      </c>
      <c r="AC98" s="506">
        <f t="shared" si="26"/>
        <v>0</v>
      </c>
      <c r="AD98" s="507" t="s">
        <v>487</v>
      </c>
    </row>
    <row r="99" spans="1:30" ht="13.5" thickBot="1" x14ac:dyDescent="0.25">
      <c r="A99" s="502" t="s">
        <v>502</v>
      </c>
      <c r="B99" s="508"/>
      <c r="C99" s="504">
        <v>100</v>
      </c>
      <c r="D99" s="505">
        <v>3</v>
      </c>
      <c r="E99" s="506">
        <f t="shared" si="14"/>
        <v>0</v>
      </c>
      <c r="F99" s="505">
        <v>3.6</v>
      </c>
      <c r="G99" s="506">
        <f t="shared" si="15"/>
        <v>0</v>
      </c>
      <c r="H99" s="505">
        <v>2.0699999999999998</v>
      </c>
      <c r="I99" s="506">
        <f t="shared" si="16"/>
        <v>0</v>
      </c>
      <c r="J99" s="505">
        <v>0.1</v>
      </c>
      <c r="K99" s="506">
        <f t="shared" si="17"/>
        <v>0</v>
      </c>
      <c r="L99" s="505">
        <v>111</v>
      </c>
      <c r="M99" s="506">
        <f t="shared" si="18"/>
        <v>0</v>
      </c>
      <c r="N99" s="505">
        <v>150</v>
      </c>
      <c r="O99" s="506">
        <f t="shared" si="27"/>
        <v>0</v>
      </c>
      <c r="P99" s="505">
        <v>87</v>
      </c>
      <c r="Q99" s="506">
        <f t="shared" si="20"/>
        <v>0</v>
      </c>
      <c r="R99" s="505">
        <v>0.03</v>
      </c>
      <c r="S99" s="506">
        <f t="shared" si="21"/>
        <v>0</v>
      </c>
      <c r="T99" s="505">
        <v>0.16</v>
      </c>
      <c r="U99" s="506">
        <f t="shared" si="22"/>
        <v>0</v>
      </c>
      <c r="V99" s="505">
        <v>0.1</v>
      </c>
      <c r="W99" s="506">
        <f t="shared" si="23"/>
        <v>0</v>
      </c>
      <c r="X99" s="505">
        <v>0.1</v>
      </c>
      <c r="Y99" s="506">
        <f t="shared" si="24"/>
        <v>0</v>
      </c>
      <c r="Z99" s="505">
        <v>1</v>
      </c>
      <c r="AA99" s="506">
        <f t="shared" si="25"/>
        <v>0</v>
      </c>
      <c r="AB99" s="505">
        <v>0</v>
      </c>
      <c r="AC99" s="506">
        <f t="shared" si="26"/>
        <v>0</v>
      </c>
      <c r="AD99" s="507" t="s">
        <v>487</v>
      </c>
    </row>
    <row r="100" spans="1:30" ht="13.5" thickBot="1" x14ac:dyDescent="0.25">
      <c r="A100" s="502" t="s">
        <v>503</v>
      </c>
      <c r="B100" s="508"/>
      <c r="C100" s="504">
        <v>100</v>
      </c>
      <c r="D100" s="505">
        <v>3</v>
      </c>
      <c r="E100" s="506">
        <f t="shared" si="14"/>
        <v>0</v>
      </c>
      <c r="F100" s="505">
        <v>9</v>
      </c>
      <c r="G100" s="506">
        <f t="shared" si="15"/>
        <v>0</v>
      </c>
      <c r="H100" s="505">
        <v>1.87</v>
      </c>
      <c r="I100" s="506">
        <f t="shared" si="16"/>
        <v>0</v>
      </c>
      <c r="J100" s="505">
        <v>0.3</v>
      </c>
      <c r="K100" s="506">
        <f t="shared" si="17"/>
        <v>0</v>
      </c>
      <c r="L100" s="505">
        <v>104</v>
      </c>
      <c r="M100" s="506">
        <f t="shared" si="18"/>
        <v>0</v>
      </c>
      <c r="N100" s="505">
        <v>140</v>
      </c>
      <c r="O100" s="506">
        <f t="shared" si="27"/>
        <v>0</v>
      </c>
      <c r="P100" s="505">
        <v>81</v>
      </c>
      <c r="Q100" s="506">
        <f t="shared" si="20"/>
        <v>0</v>
      </c>
      <c r="R100" s="505">
        <v>0.08</v>
      </c>
      <c r="S100" s="506">
        <f t="shared" si="21"/>
        <v>0</v>
      </c>
      <c r="T100" s="505">
        <v>0.22</v>
      </c>
      <c r="U100" s="506">
        <f t="shared" si="22"/>
        <v>0</v>
      </c>
      <c r="V100" s="505">
        <v>0.9</v>
      </c>
      <c r="W100" s="506">
        <f t="shared" si="23"/>
        <v>0</v>
      </c>
      <c r="X100" s="505">
        <v>0.18</v>
      </c>
      <c r="Y100" s="506">
        <f t="shared" si="24"/>
        <v>0</v>
      </c>
      <c r="Z100" s="505">
        <v>1</v>
      </c>
      <c r="AA100" s="506">
        <f t="shared" si="25"/>
        <v>0</v>
      </c>
      <c r="AB100" s="505">
        <v>0</v>
      </c>
      <c r="AC100" s="506">
        <f t="shared" si="26"/>
        <v>0</v>
      </c>
      <c r="AD100" s="507" t="s">
        <v>487</v>
      </c>
    </row>
    <row r="101" spans="1:30" ht="13.5" thickBot="1" x14ac:dyDescent="0.25">
      <c r="A101" s="502" t="s">
        <v>504</v>
      </c>
      <c r="B101" s="508"/>
      <c r="C101" s="504">
        <v>100</v>
      </c>
      <c r="D101" s="505">
        <v>2</v>
      </c>
      <c r="E101" s="506">
        <f t="shared" si="14"/>
        <v>0</v>
      </c>
      <c r="F101" s="505">
        <v>12.6</v>
      </c>
      <c r="G101" s="506">
        <f t="shared" si="15"/>
        <v>0</v>
      </c>
      <c r="H101" s="505">
        <v>1.75</v>
      </c>
      <c r="I101" s="506">
        <f t="shared" si="16"/>
        <v>0</v>
      </c>
      <c r="J101" s="505">
        <v>0.1</v>
      </c>
      <c r="K101" s="506">
        <f t="shared" si="17"/>
        <v>0</v>
      </c>
      <c r="L101" s="505">
        <v>111</v>
      </c>
      <c r="M101" s="506">
        <f t="shared" si="18"/>
        <v>0</v>
      </c>
      <c r="N101" s="505">
        <v>150</v>
      </c>
      <c r="O101" s="506">
        <f t="shared" si="27"/>
        <v>0</v>
      </c>
      <c r="P101" s="505">
        <v>87</v>
      </c>
      <c r="Q101" s="506">
        <f t="shared" si="20"/>
        <v>0</v>
      </c>
      <c r="R101" s="505">
        <v>0.03</v>
      </c>
      <c r="S101" s="506">
        <f t="shared" si="21"/>
        <v>0</v>
      </c>
      <c r="T101" s="505">
        <v>0.16</v>
      </c>
      <c r="U101" s="506">
        <f t="shared" si="22"/>
        <v>0</v>
      </c>
      <c r="V101" s="505">
        <v>0.1</v>
      </c>
      <c r="W101" s="506">
        <f t="shared" si="23"/>
        <v>0</v>
      </c>
      <c r="X101" s="505">
        <v>7.0000000000000007E-2</v>
      </c>
      <c r="Y101" s="506">
        <f t="shared" si="24"/>
        <v>0</v>
      </c>
      <c r="Z101" s="505">
        <v>1</v>
      </c>
      <c r="AA101" s="506">
        <f t="shared" si="25"/>
        <v>0</v>
      </c>
      <c r="AB101" s="505">
        <v>0</v>
      </c>
      <c r="AC101" s="506">
        <f t="shared" si="26"/>
        <v>0</v>
      </c>
      <c r="AD101" s="507" t="s">
        <v>487</v>
      </c>
    </row>
    <row r="102" spans="1:30" ht="13.5" thickBot="1" x14ac:dyDescent="0.25">
      <c r="A102" s="502" t="s">
        <v>505</v>
      </c>
      <c r="B102" s="508"/>
      <c r="C102" s="504">
        <v>100</v>
      </c>
      <c r="D102" s="505">
        <v>4</v>
      </c>
      <c r="E102" s="506">
        <f t="shared" si="14"/>
        <v>0</v>
      </c>
      <c r="F102" s="505">
        <v>17.899999999999999</v>
      </c>
      <c r="G102" s="506">
        <f t="shared" si="15"/>
        <v>0</v>
      </c>
      <c r="H102" s="505">
        <v>0.39</v>
      </c>
      <c r="I102" s="506">
        <f t="shared" si="16"/>
        <v>0</v>
      </c>
      <c r="J102" s="505">
        <v>0.1</v>
      </c>
      <c r="K102" s="506">
        <f t="shared" si="17"/>
        <v>0</v>
      </c>
      <c r="L102" s="505">
        <v>150</v>
      </c>
      <c r="M102" s="506">
        <f t="shared" si="18"/>
        <v>0</v>
      </c>
      <c r="N102" s="505">
        <v>210</v>
      </c>
      <c r="O102" s="506">
        <f t="shared" si="27"/>
        <v>0</v>
      </c>
      <c r="P102" s="505">
        <v>120</v>
      </c>
      <c r="Q102" s="506">
        <f t="shared" si="20"/>
        <v>0</v>
      </c>
      <c r="R102" s="505">
        <v>0.05</v>
      </c>
      <c r="S102" s="506">
        <f t="shared" si="21"/>
        <v>0</v>
      </c>
      <c r="T102" s="505">
        <v>0.21</v>
      </c>
      <c r="U102" s="506">
        <f t="shared" si="22"/>
        <v>0</v>
      </c>
      <c r="V102" s="505">
        <v>0.1</v>
      </c>
      <c r="W102" s="506">
        <f t="shared" si="23"/>
        <v>0</v>
      </c>
      <c r="X102" s="505">
        <v>0.08</v>
      </c>
      <c r="Y102" s="506">
        <f t="shared" si="24"/>
        <v>0</v>
      </c>
      <c r="Z102" s="505">
        <v>1</v>
      </c>
      <c r="AA102" s="506">
        <f t="shared" si="25"/>
        <v>0</v>
      </c>
      <c r="AB102" s="505">
        <v>0</v>
      </c>
      <c r="AC102" s="506">
        <f t="shared" si="26"/>
        <v>0</v>
      </c>
      <c r="AD102" s="507" t="s">
        <v>487</v>
      </c>
    </row>
    <row r="103" spans="1:30" ht="13.5" thickBot="1" x14ac:dyDescent="0.25">
      <c r="A103" s="502" t="s">
        <v>506</v>
      </c>
      <c r="B103" s="508"/>
      <c r="C103" s="504">
        <v>52</v>
      </c>
      <c r="D103" s="505">
        <v>0</v>
      </c>
      <c r="E103" s="506">
        <f t="shared" si="14"/>
        <v>0</v>
      </c>
      <c r="F103" s="505">
        <v>3</v>
      </c>
      <c r="G103" s="506">
        <f t="shared" si="15"/>
        <v>0</v>
      </c>
      <c r="H103" s="505">
        <v>0.02</v>
      </c>
      <c r="I103" s="506">
        <f t="shared" si="16"/>
        <v>0</v>
      </c>
      <c r="J103" s="505">
        <v>1</v>
      </c>
      <c r="K103" s="506">
        <f t="shared" si="17"/>
        <v>0</v>
      </c>
      <c r="L103" s="505">
        <v>24</v>
      </c>
      <c r="M103" s="506">
        <f t="shared" si="18"/>
        <v>0</v>
      </c>
      <c r="N103" s="505">
        <v>278</v>
      </c>
      <c r="O103" s="506">
        <f t="shared" si="27"/>
        <v>0</v>
      </c>
      <c r="P103" s="505">
        <v>65</v>
      </c>
      <c r="Q103" s="506">
        <f t="shared" si="20"/>
        <v>0</v>
      </c>
      <c r="R103" s="505">
        <v>0.27</v>
      </c>
      <c r="S103" s="506">
        <f t="shared" si="21"/>
        <v>0</v>
      </c>
      <c r="T103" s="505">
        <v>0.25</v>
      </c>
      <c r="U103" s="506">
        <f t="shared" si="22"/>
        <v>0</v>
      </c>
      <c r="V103" s="505">
        <v>0.9</v>
      </c>
      <c r="W103" s="506">
        <f t="shared" si="23"/>
        <v>0</v>
      </c>
      <c r="X103" s="505">
        <v>0.09</v>
      </c>
      <c r="Y103" s="506">
        <f t="shared" si="24"/>
        <v>0</v>
      </c>
      <c r="Z103" s="505">
        <v>24</v>
      </c>
      <c r="AA103" s="506">
        <f t="shared" si="25"/>
        <v>0</v>
      </c>
      <c r="AB103" s="505">
        <v>0</v>
      </c>
      <c r="AC103" s="506">
        <f t="shared" si="26"/>
        <v>0</v>
      </c>
      <c r="AD103" s="507" t="s">
        <v>507</v>
      </c>
    </row>
    <row r="104" spans="1:30" ht="13.5" thickBot="1" x14ac:dyDescent="0.25">
      <c r="A104" s="502" t="s">
        <v>508</v>
      </c>
      <c r="B104" s="508"/>
      <c r="C104" s="504">
        <v>100</v>
      </c>
      <c r="D104" s="505">
        <v>0</v>
      </c>
      <c r="E104" s="506">
        <f t="shared" si="14"/>
        <v>0</v>
      </c>
      <c r="F104" s="505">
        <v>0.9</v>
      </c>
      <c r="G104" s="506">
        <f t="shared" si="15"/>
        <v>0</v>
      </c>
      <c r="H104" s="505">
        <v>0.15</v>
      </c>
      <c r="I104" s="506">
        <f t="shared" si="16"/>
        <v>0</v>
      </c>
      <c r="J104" s="505">
        <v>1.8</v>
      </c>
      <c r="K104" s="506">
        <f t="shared" si="17"/>
        <v>0</v>
      </c>
      <c r="L104" s="505">
        <v>16</v>
      </c>
      <c r="M104" s="506">
        <f t="shared" si="18"/>
        <v>0</v>
      </c>
      <c r="N104" s="505">
        <v>172</v>
      </c>
      <c r="O104" s="506">
        <f t="shared" ref="O104:O125" si="28">N103*B105/100</f>
        <v>0</v>
      </c>
      <c r="P104" s="505">
        <v>43</v>
      </c>
      <c r="Q104" s="506">
        <f t="shared" si="20"/>
        <v>0</v>
      </c>
      <c r="R104" s="505">
        <v>0.06</v>
      </c>
      <c r="S104" s="506">
        <f t="shared" si="21"/>
        <v>0</v>
      </c>
      <c r="T104" s="505">
        <v>0.1</v>
      </c>
      <c r="U104" s="506">
        <f t="shared" si="22"/>
        <v>0</v>
      </c>
      <c r="V104" s="505">
        <v>1</v>
      </c>
      <c r="W104" s="506">
        <f t="shared" si="23"/>
        <v>0</v>
      </c>
      <c r="X104" s="505">
        <v>0.11</v>
      </c>
      <c r="Y104" s="506">
        <f t="shared" si="24"/>
        <v>0</v>
      </c>
      <c r="Z104" s="505">
        <v>18</v>
      </c>
      <c r="AA104" s="506">
        <f t="shared" si="25"/>
        <v>0</v>
      </c>
      <c r="AB104" s="505">
        <v>0</v>
      </c>
      <c r="AC104" s="506">
        <f t="shared" si="26"/>
        <v>0</v>
      </c>
      <c r="AD104" s="507" t="s">
        <v>507</v>
      </c>
    </row>
    <row r="105" spans="1:30" ht="13.5" thickBot="1" x14ac:dyDescent="0.25">
      <c r="A105" s="502" t="s">
        <v>509</v>
      </c>
      <c r="B105" s="508"/>
      <c r="C105" s="504">
        <v>76</v>
      </c>
      <c r="D105" s="505">
        <v>0</v>
      </c>
      <c r="E105" s="506">
        <f t="shared" si="14"/>
        <v>0</v>
      </c>
      <c r="F105" s="505">
        <v>1.8</v>
      </c>
      <c r="G105" s="506">
        <f t="shared" si="15"/>
        <v>0</v>
      </c>
      <c r="H105" s="505">
        <v>2.7</v>
      </c>
      <c r="I105" s="506">
        <f t="shared" si="16"/>
        <v>0</v>
      </c>
      <c r="J105" s="505">
        <v>0.6</v>
      </c>
      <c r="K105" s="506">
        <f t="shared" si="17"/>
        <v>0</v>
      </c>
      <c r="L105" s="505">
        <v>13</v>
      </c>
      <c r="M105" s="506">
        <f t="shared" si="18"/>
        <v>0</v>
      </c>
      <c r="N105" s="505">
        <v>450</v>
      </c>
      <c r="O105" s="506">
        <f t="shared" si="28"/>
        <v>0</v>
      </c>
      <c r="P105" s="505">
        <v>44</v>
      </c>
      <c r="Q105" s="506">
        <f t="shared" si="20"/>
        <v>0</v>
      </c>
      <c r="R105" s="505">
        <v>0.09</v>
      </c>
      <c r="S105" s="506">
        <f t="shared" si="21"/>
        <v>0</v>
      </c>
      <c r="T105" s="505">
        <v>0.12</v>
      </c>
      <c r="U105" s="506">
        <f t="shared" si="22"/>
        <v>0</v>
      </c>
      <c r="V105" s="505">
        <v>1.1000000000000001</v>
      </c>
      <c r="W105" s="506">
        <f t="shared" si="23"/>
        <v>0</v>
      </c>
      <c r="X105" s="505">
        <v>0.47</v>
      </c>
      <c r="Y105" s="506">
        <f t="shared" si="24"/>
        <v>0</v>
      </c>
      <c r="Z105" s="505">
        <v>18</v>
      </c>
      <c r="AA105" s="506">
        <f t="shared" si="25"/>
        <v>0</v>
      </c>
      <c r="AB105" s="505">
        <v>0</v>
      </c>
      <c r="AC105" s="506">
        <f t="shared" si="26"/>
        <v>0</v>
      </c>
      <c r="AD105" s="507" t="s">
        <v>507</v>
      </c>
    </row>
    <row r="106" spans="1:30" ht="13.5" thickBot="1" x14ac:dyDescent="0.25">
      <c r="A106" s="502" t="s">
        <v>510</v>
      </c>
      <c r="B106" s="508"/>
      <c r="C106" s="504">
        <v>100</v>
      </c>
      <c r="D106" s="505">
        <v>0</v>
      </c>
      <c r="E106" s="506">
        <f t="shared" si="14"/>
        <v>0</v>
      </c>
      <c r="F106" s="505">
        <v>0</v>
      </c>
      <c r="G106" s="506">
        <f t="shared" si="15"/>
        <v>0</v>
      </c>
      <c r="H106" s="505">
        <v>0.05</v>
      </c>
      <c r="I106" s="506">
        <f t="shared" si="16"/>
        <v>0</v>
      </c>
      <c r="J106" s="505">
        <v>0.1</v>
      </c>
      <c r="K106" s="506">
        <f t="shared" si="17"/>
        <v>0</v>
      </c>
      <c r="L106" s="505">
        <v>1</v>
      </c>
      <c r="M106" s="506">
        <f t="shared" si="18"/>
        <v>0</v>
      </c>
      <c r="N106" s="505">
        <v>15</v>
      </c>
      <c r="O106" s="506">
        <f t="shared" si="28"/>
        <v>0</v>
      </c>
      <c r="P106" s="505">
        <v>1</v>
      </c>
      <c r="Q106" s="506">
        <f t="shared" si="20"/>
        <v>0</v>
      </c>
      <c r="R106" s="505">
        <v>0.06</v>
      </c>
      <c r="S106" s="506">
        <f t="shared" si="21"/>
        <v>0</v>
      </c>
      <c r="T106" s="505">
        <v>0.01</v>
      </c>
      <c r="U106" s="506">
        <f t="shared" si="22"/>
        <v>0</v>
      </c>
      <c r="V106" s="505">
        <v>0</v>
      </c>
      <c r="W106" s="506">
        <f t="shared" si="23"/>
        <v>0</v>
      </c>
      <c r="X106" s="505">
        <v>0.01</v>
      </c>
      <c r="Y106" s="506">
        <f t="shared" si="24"/>
        <v>0</v>
      </c>
      <c r="Z106" s="505">
        <v>0</v>
      </c>
      <c r="AA106" s="506">
        <f t="shared" si="25"/>
        <v>0</v>
      </c>
      <c r="AB106" s="505">
        <v>0</v>
      </c>
      <c r="AC106" s="506">
        <f t="shared" si="26"/>
        <v>0</v>
      </c>
      <c r="AD106" s="507" t="s">
        <v>507</v>
      </c>
    </row>
    <row r="107" spans="1:30" ht="13.5" thickBot="1" x14ac:dyDescent="0.25">
      <c r="A107" s="502" t="s">
        <v>511</v>
      </c>
      <c r="B107" s="508"/>
      <c r="C107" s="504">
        <v>34</v>
      </c>
      <c r="D107" s="505">
        <v>0</v>
      </c>
      <c r="E107" s="506">
        <f t="shared" si="14"/>
        <v>0</v>
      </c>
      <c r="F107" s="505">
        <v>1.9</v>
      </c>
      <c r="G107" s="506">
        <f t="shared" si="15"/>
        <v>0</v>
      </c>
      <c r="H107" s="505">
        <v>0.05</v>
      </c>
      <c r="I107" s="506">
        <f t="shared" si="16"/>
        <v>0</v>
      </c>
      <c r="J107" s="505">
        <v>1</v>
      </c>
      <c r="K107" s="506">
        <f t="shared" si="17"/>
        <v>0</v>
      </c>
      <c r="L107" s="505">
        <v>86</v>
      </c>
      <c r="M107" s="506">
        <f t="shared" si="18"/>
        <v>0</v>
      </c>
      <c r="N107" s="505">
        <v>376</v>
      </c>
      <c r="O107" s="506">
        <f t="shared" si="28"/>
        <v>0</v>
      </c>
      <c r="P107" s="505">
        <v>67</v>
      </c>
      <c r="Q107" s="506">
        <f t="shared" si="20"/>
        <v>0</v>
      </c>
      <c r="R107" s="505">
        <v>0.06</v>
      </c>
      <c r="S107" s="506">
        <f t="shared" si="21"/>
        <v>0</v>
      </c>
      <c r="T107" s="505">
        <v>0.1</v>
      </c>
      <c r="U107" s="506">
        <f t="shared" si="22"/>
        <v>0</v>
      </c>
      <c r="V107" s="505">
        <v>0.5</v>
      </c>
      <c r="W107" s="506">
        <f t="shared" si="23"/>
        <v>0</v>
      </c>
      <c r="X107" s="505">
        <v>0.03</v>
      </c>
      <c r="Y107" s="506">
        <f t="shared" si="24"/>
        <v>0</v>
      </c>
      <c r="Z107" s="505">
        <v>12</v>
      </c>
      <c r="AA107" s="506">
        <f t="shared" si="25"/>
        <v>0</v>
      </c>
      <c r="AB107" s="505">
        <v>0</v>
      </c>
      <c r="AC107" s="506">
        <f t="shared" si="26"/>
        <v>0</v>
      </c>
      <c r="AD107" s="507" t="s">
        <v>507</v>
      </c>
    </row>
    <row r="108" spans="1:30" ht="13.5" thickBot="1" x14ac:dyDescent="0.25">
      <c r="A108" s="502" t="s">
        <v>512</v>
      </c>
      <c r="B108" s="508"/>
      <c r="C108" s="504">
        <v>95</v>
      </c>
      <c r="D108" s="505">
        <v>0</v>
      </c>
      <c r="E108" s="506">
        <f t="shared" si="14"/>
        <v>0</v>
      </c>
      <c r="F108" s="505">
        <v>7.6</v>
      </c>
      <c r="G108" s="506">
        <f t="shared" si="15"/>
        <v>0</v>
      </c>
      <c r="H108" s="505">
        <v>0</v>
      </c>
      <c r="I108" s="506">
        <f t="shared" si="16"/>
        <v>0</v>
      </c>
      <c r="J108" s="505">
        <v>0.7</v>
      </c>
      <c r="K108" s="506">
        <f t="shared" si="17"/>
        <v>0</v>
      </c>
      <c r="L108" s="505">
        <v>44</v>
      </c>
      <c r="M108" s="506">
        <f t="shared" si="18"/>
        <v>0</v>
      </c>
      <c r="N108" s="505">
        <v>220</v>
      </c>
      <c r="O108" s="506">
        <f t="shared" si="28"/>
        <v>0</v>
      </c>
      <c r="P108" s="505">
        <v>37</v>
      </c>
      <c r="Q108" s="506">
        <f t="shared" si="20"/>
        <v>0</v>
      </c>
      <c r="R108" s="505">
        <v>0.04</v>
      </c>
      <c r="S108" s="506">
        <f t="shared" si="21"/>
        <v>0</v>
      </c>
      <c r="T108" s="505">
        <v>0.04</v>
      </c>
      <c r="U108" s="506">
        <f t="shared" si="22"/>
        <v>0</v>
      </c>
      <c r="V108" s="505">
        <v>0.7</v>
      </c>
      <c r="W108" s="506">
        <f t="shared" si="23"/>
        <v>0</v>
      </c>
      <c r="X108" s="505">
        <v>0.12</v>
      </c>
      <c r="Y108" s="506">
        <f t="shared" si="24"/>
        <v>0</v>
      </c>
      <c r="Z108" s="505">
        <v>4</v>
      </c>
      <c r="AA108" s="506">
        <f t="shared" si="25"/>
        <v>0</v>
      </c>
      <c r="AB108" s="505">
        <v>0</v>
      </c>
      <c r="AC108" s="506">
        <f t="shared" si="26"/>
        <v>0</v>
      </c>
      <c r="AD108" s="507" t="s">
        <v>507</v>
      </c>
    </row>
    <row r="109" spans="1:30" ht="13.5" thickBot="1" x14ac:dyDescent="0.25">
      <c r="A109" s="502" t="s">
        <v>513</v>
      </c>
      <c r="B109" s="508"/>
      <c r="C109" s="504">
        <v>66</v>
      </c>
      <c r="D109" s="505">
        <v>0</v>
      </c>
      <c r="E109" s="506">
        <f t="shared" si="14"/>
        <v>0</v>
      </c>
      <c r="F109" s="505">
        <v>2.4</v>
      </c>
      <c r="G109" s="506">
        <f t="shared" si="15"/>
        <v>0</v>
      </c>
      <c r="H109" s="505">
        <v>0.03</v>
      </c>
      <c r="I109" s="506">
        <f t="shared" si="16"/>
        <v>0</v>
      </c>
      <c r="J109" s="505">
        <v>0.8</v>
      </c>
      <c r="K109" s="506">
        <f t="shared" si="17"/>
        <v>0</v>
      </c>
      <c r="L109" s="505">
        <v>44</v>
      </c>
      <c r="M109" s="506">
        <f t="shared" si="18"/>
        <v>0</v>
      </c>
      <c r="N109" s="505">
        <v>350</v>
      </c>
      <c r="O109" s="506">
        <f t="shared" si="28"/>
        <v>0</v>
      </c>
      <c r="P109" s="505">
        <v>69</v>
      </c>
      <c r="Q109" s="506">
        <f t="shared" si="20"/>
        <v>0</v>
      </c>
      <c r="R109" s="505">
        <v>0.1</v>
      </c>
      <c r="S109" s="506">
        <f t="shared" si="21"/>
        <v>0</v>
      </c>
      <c r="T109" s="505">
        <v>0.1</v>
      </c>
      <c r="U109" s="506">
        <f t="shared" si="22"/>
        <v>0</v>
      </c>
      <c r="V109" s="505">
        <v>1.2</v>
      </c>
      <c r="W109" s="506">
        <f t="shared" si="23"/>
        <v>0</v>
      </c>
      <c r="X109" s="505">
        <v>0.23</v>
      </c>
      <c r="Y109" s="506">
        <f t="shared" si="24"/>
        <v>0</v>
      </c>
      <c r="Z109" s="505">
        <v>59</v>
      </c>
      <c r="AA109" s="506">
        <f t="shared" si="25"/>
        <v>0</v>
      </c>
      <c r="AB109" s="505">
        <v>0</v>
      </c>
      <c r="AC109" s="506">
        <f t="shared" si="26"/>
        <v>0</v>
      </c>
      <c r="AD109" s="507" t="s">
        <v>507</v>
      </c>
    </row>
    <row r="110" spans="1:30" ht="13.5" thickBot="1" x14ac:dyDescent="0.25">
      <c r="A110" s="502" t="s">
        <v>514</v>
      </c>
      <c r="B110" s="508"/>
      <c r="C110" s="504">
        <v>72</v>
      </c>
      <c r="D110" s="505">
        <v>0</v>
      </c>
      <c r="E110" s="506">
        <f t="shared" si="14"/>
        <v>0</v>
      </c>
      <c r="F110" s="505">
        <v>2</v>
      </c>
      <c r="G110" s="506">
        <f t="shared" si="15"/>
        <v>0</v>
      </c>
      <c r="H110" s="505">
        <v>0.05</v>
      </c>
      <c r="I110" s="506">
        <f t="shared" si="16"/>
        <v>0</v>
      </c>
      <c r="J110" s="505">
        <v>1.2</v>
      </c>
      <c r="K110" s="506">
        <f t="shared" si="17"/>
        <v>0</v>
      </c>
      <c r="L110" s="505">
        <v>72</v>
      </c>
      <c r="M110" s="506">
        <f t="shared" si="18"/>
        <v>0</v>
      </c>
      <c r="N110" s="505">
        <v>340</v>
      </c>
      <c r="O110" s="506">
        <f t="shared" si="28"/>
        <v>0</v>
      </c>
      <c r="P110" s="505">
        <v>74</v>
      </c>
      <c r="Q110" s="506">
        <f t="shared" si="20"/>
        <v>0</v>
      </c>
      <c r="R110" s="505">
        <v>0.08</v>
      </c>
      <c r="S110" s="506">
        <f t="shared" si="21"/>
        <v>0</v>
      </c>
      <c r="T110" s="505">
        <v>0.21</v>
      </c>
      <c r="U110" s="506">
        <f t="shared" si="22"/>
        <v>0</v>
      </c>
      <c r="V110" s="505">
        <v>1.8</v>
      </c>
      <c r="W110" s="506">
        <f t="shared" si="23"/>
        <v>0</v>
      </c>
      <c r="X110" s="505">
        <v>0.14000000000000001</v>
      </c>
      <c r="Y110" s="506">
        <f t="shared" si="24"/>
        <v>0</v>
      </c>
      <c r="Z110" s="505">
        <v>77</v>
      </c>
      <c r="AA110" s="506">
        <f t="shared" si="25"/>
        <v>0</v>
      </c>
      <c r="AB110" s="505">
        <v>0</v>
      </c>
      <c r="AC110" s="506">
        <f t="shared" si="26"/>
        <v>0</v>
      </c>
      <c r="AD110" s="507" t="s">
        <v>507</v>
      </c>
    </row>
    <row r="111" spans="1:30" ht="13.5" thickBot="1" x14ac:dyDescent="0.25">
      <c r="A111" s="502" t="s">
        <v>515</v>
      </c>
      <c r="B111" s="508"/>
      <c r="C111" s="504">
        <v>80</v>
      </c>
      <c r="D111" s="505">
        <v>0</v>
      </c>
      <c r="E111" s="506">
        <f t="shared" si="14"/>
        <v>0</v>
      </c>
      <c r="F111" s="505">
        <v>0.7</v>
      </c>
      <c r="G111" s="506">
        <f t="shared" si="15"/>
        <v>0</v>
      </c>
      <c r="H111" s="505">
        <v>0.05</v>
      </c>
      <c r="I111" s="506">
        <f t="shared" si="16"/>
        <v>0</v>
      </c>
      <c r="J111" s="505">
        <v>0.7</v>
      </c>
      <c r="K111" s="506">
        <f t="shared" si="17"/>
        <v>0</v>
      </c>
      <c r="L111" s="505">
        <v>74</v>
      </c>
      <c r="M111" s="506">
        <f t="shared" si="18"/>
        <v>0</v>
      </c>
      <c r="N111" s="505">
        <v>358</v>
      </c>
      <c r="O111" s="506">
        <f t="shared" si="28"/>
        <v>0</v>
      </c>
      <c r="P111" s="505">
        <v>31</v>
      </c>
      <c r="Q111" s="506">
        <f t="shared" si="20"/>
        <v>0</v>
      </c>
      <c r="R111" s="505">
        <v>0.03</v>
      </c>
      <c r="S111" s="506">
        <f t="shared" si="21"/>
        <v>0</v>
      </c>
      <c r="T111" s="505">
        <v>0.19</v>
      </c>
      <c r="U111" s="506">
        <f t="shared" si="22"/>
        <v>0</v>
      </c>
      <c r="V111" s="505">
        <v>0.3</v>
      </c>
      <c r="W111" s="506">
        <f t="shared" si="23"/>
        <v>0</v>
      </c>
      <c r="X111" s="505">
        <v>0.01</v>
      </c>
      <c r="Y111" s="506">
        <f t="shared" si="24"/>
        <v>0</v>
      </c>
      <c r="Z111" s="505">
        <v>17</v>
      </c>
      <c r="AA111" s="506">
        <f t="shared" si="25"/>
        <v>0</v>
      </c>
      <c r="AB111" s="505">
        <v>0</v>
      </c>
      <c r="AC111" s="506">
        <f t="shared" si="26"/>
        <v>0</v>
      </c>
      <c r="AD111" s="507" t="s">
        <v>507</v>
      </c>
    </row>
    <row r="112" spans="1:30" ht="13.5" thickBot="1" x14ac:dyDescent="0.25">
      <c r="A112" s="502" t="s">
        <v>516</v>
      </c>
      <c r="B112" s="508"/>
      <c r="C112" s="504">
        <v>83</v>
      </c>
      <c r="D112" s="505">
        <v>0</v>
      </c>
      <c r="E112" s="506">
        <f t="shared" si="14"/>
        <v>0</v>
      </c>
      <c r="F112" s="505">
        <v>5.7</v>
      </c>
      <c r="G112" s="506">
        <f t="shared" si="15"/>
        <v>0</v>
      </c>
      <c r="H112" s="505">
        <v>0.02</v>
      </c>
      <c r="I112" s="506">
        <f t="shared" si="16"/>
        <v>0</v>
      </c>
      <c r="J112" s="505">
        <v>0.4</v>
      </c>
      <c r="K112" s="506">
        <f t="shared" si="17"/>
        <v>0</v>
      </c>
      <c r="L112" s="505">
        <v>25</v>
      </c>
      <c r="M112" s="506">
        <f t="shared" si="18"/>
        <v>0</v>
      </c>
      <c r="N112" s="505">
        <v>140</v>
      </c>
      <c r="O112" s="506">
        <f t="shared" si="28"/>
        <v>0</v>
      </c>
      <c r="P112" s="505">
        <v>35</v>
      </c>
      <c r="Q112" s="506">
        <f t="shared" si="20"/>
        <v>0</v>
      </c>
      <c r="R112" s="505">
        <v>0.02</v>
      </c>
      <c r="S112" s="506">
        <f t="shared" si="21"/>
        <v>0</v>
      </c>
      <c r="T112" s="505">
        <v>0.03</v>
      </c>
      <c r="U112" s="506">
        <f t="shared" si="22"/>
        <v>0</v>
      </c>
      <c r="V112" s="505">
        <v>0.5</v>
      </c>
      <c r="W112" s="506">
        <f t="shared" si="23"/>
        <v>0</v>
      </c>
      <c r="X112" s="505">
        <v>0.14000000000000001</v>
      </c>
      <c r="Y112" s="506">
        <f t="shared" si="24"/>
        <v>0</v>
      </c>
      <c r="Z112" s="505">
        <v>5</v>
      </c>
      <c r="AA112" s="506">
        <f t="shared" si="25"/>
        <v>0</v>
      </c>
      <c r="AB112" s="505">
        <v>0</v>
      </c>
      <c r="AC112" s="506">
        <f t="shared" si="26"/>
        <v>0</v>
      </c>
      <c r="AD112" s="507" t="s">
        <v>507</v>
      </c>
    </row>
    <row r="113" spans="1:30" ht="13.5" thickBot="1" x14ac:dyDescent="0.25">
      <c r="A113" s="502" t="s">
        <v>517</v>
      </c>
      <c r="B113" s="508"/>
      <c r="C113" s="504">
        <v>95</v>
      </c>
      <c r="D113" s="505">
        <v>0</v>
      </c>
      <c r="E113" s="506">
        <f t="shared" si="14"/>
        <v>0</v>
      </c>
      <c r="F113" s="505">
        <v>2.4</v>
      </c>
      <c r="G113" s="506">
        <f t="shared" si="15"/>
        <v>0</v>
      </c>
      <c r="H113" s="505">
        <v>0.02</v>
      </c>
      <c r="I113" s="506">
        <f t="shared" si="16"/>
        <v>0</v>
      </c>
      <c r="J113" s="505">
        <v>0.9</v>
      </c>
      <c r="K113" s="506">
        <f t="shared" si="17"/>
        <v>0</v>
      </c>
      <c r="L113" s="505">
        <v>35</v>
      </c>
      <c r="M113" s="506">
        <f t="shared" si="18"/>
        <v>0</v>
      </c>
      <c r="N113" s="505">
        <v>280</v>
      </c>
      <c r="O113" s="506">
        <f t="shared" si="28"/>
        <v>0</v>
      </c>
      <c r="P113" s="505">
        <v>48</v>
      </c>
      <c r="Q113" s="506">
        <f t="shared" si="20"/>
        <v>0</v>
      </c>
      <c r="R113" s="505">
        <v>7.0000000000000007E-2</v>
      </c>
      <c r="S113" s="506">
        <f t="shared" si="21"/>
        <v>0</v>
      </c>
      <c r="T113" s="505">
        <v>0.15</v>
      </c>
      <c r="U113" s="506">
        <f t="shared" si="22"/>
        <v>0</v>
      </c>
      <c r="V113" s="505">
        <v>0.8</v>
      </c>
      <c r="W113" s="506">
        <f t="shared" si="23"/>
        <v>0</v>
      </c>
      <c r="X113" s="505">
        <v>0.05</v>
      </c>
      <c r="Y113" s="506">
        <f t="shared" si="24"/>
        <v>0</v>
      </c>
      <c r="Z113" s="505">
        <v>16</v>
      </c>
      <c r="AA113" s="506">
        <f t="shared" si="25"/>
        <v>0</v>
      </c>
      <c r="AB113" s="505">
        <v>0</v>
      </c>
      <c r="AC113" s="506">
        <f t="shared" si="26"/>
        <v>0</v>
      </c>
      <c r="AD113" s="507" t="s">
        <v>507</v>
      </c>
    </row>
    <row r="114" spans="1:30" ht="13.5" thickBot="1" x14ac:dyDescent="0.25">
      <c r="A114" s="502" t="s">
        <v>518</v>
      </c>
      <c r="B114" s="508"/>
      <c r="C114" s="504">
        <v>54</v>
      </c>
      <c r="D114" s="505">
        <v>0</v>
      </c>
      <c r="E114" s="506">
        <f t="shared" si="14"/>
        <v>0</v>
      </c>
      <c r="F114" s="505">
        <v>1</v>
      </c>
      <c r="G114" s="506">
        <f t="shared" si="15"/>
        <v>0</v>
      </c>
      <c r="H114" s="505">
        <v>0.02</v>
      </c>
      <c r="I114" s="506">
        <f t="shared" si="16"/>
        <v>0</v>
      </c>
      <c r="J114" s="505">
        <v>1.9</v>
      </c>
      <c r="K114" s="506">
        <f t="shared" si="17"/>
        <v>0</v>
      </c>
      <c r="L114" s="505">
        <v>53</v>
      </c>
      <c r="M114" s="506">
        <f t="shared" si="18"/>
        <v>0</v>
      </c>
      <c r="N114" s="505">
        <v>110</v>
      </c>
      <c r="O114" s="506">
        <f t="shared" si="28"/>
        <v>0</v>
      </c>
      <c r="P114" s="505">
        <v>27</v>
      </c>
      <c r="Q114" s="506">
        <f t="shared" si="20"/>
        <v>0</v>
      </c>
      <c r="R114" s="505">
        <v>0.02</v>
      </c>
      <c r="S114" s="506">
        <f t="shared" si="21"/>
        <v>0</v>
      </c>
      <c r="T114" s="505">
        <v>0.05</v>
      </c>
      <c r="U114" s="506">
        <f t="shared" si="22"/>
        <v>0</v>
      </c>
      <c r="V114" s="505">
        <v>0.2</v>
      </c>
      <c r="W114" s="506">
        <f t="shared" si="23"/>
        <v>0</v>
      </c>
      <c r="X114" s="505">
        <v>0.05</v>
      </c>
      <c r="Y114" s="506">
        <f t="shared" si="24"/>
        <v>0</v>
      </c>
      <c r="Z114" s="505">
        <v>2</v>
      </c>
      <c r="AA114" s="506">
        <f t="shared" si="25"/>
        <v>0</v>
      </c>
      <c r="AB114" s="505">
        <v>0</v>
      </c>
      <c r="AC114" s="506">
        <f t="shared" si="26"/>
        <v>0</v>
      </c>
      <c r="AD114" s="507" t="s">
        <v>507</v>
      </c>
    </row>
    <row r="115" spans="1:30" ht="13.5" thickBot="1" x14ac:dyDescent="0.25">
      <c r="A115" s="502" t="s">
        <v>519</v>
      </c>
      <c r="B115" s="508"/>
      <c r="C115" s="504">
        <v>59</v>
      </c>
      <c r="D115" s="505">
        <v>0</v>
      </c>
      <c r="E115" s="506">
        <f t="shared" si="14"/>
        <v>0</v>
      </c>
      <c r="F115" s="505">
        <v>1</v>
      </c>
      <c r="G115" s="506">
        <f t="shared" si="15"/>
        <v>0</v>
      </c>
      <c r="H115" s="505">
        <v>0</v>
      </c>
      <c r="I115" s="506">
        <f t="shared" si="16"/>
        <v>0</v>
      </c>
      <c r="J115" s="505">
        <v>0.4</v>
      </c>
      <c r="K115" s="506">
        <f t="shared" si="17"/>
        <v>0</v>
      </c>
      <c r="L115" s="505">
        <v>45</v>
      </c>
      <c r="M115" s="506">
        <f t="shared" si="18"/>
        <v>0</v>
      </c>
      <c r="N115" s="505">
        <v>276</v>
      </c>
      <c r="O115" s="506">
        <f t="shared" si="28"/>
        <v>0</v>
      </c>
      <c r="P115" s="505">
        <v>39</v>
      </c>
      <c r="Q115" s="506">
        <f t="shared" si="20"/>
        <v>0</v>
      </c>
      <c r="R115" s="505">
        <v>0.02</v>
      </c>
      <c r="S115" s="506">
        <f t="shared" si="21"/>
        <v>0</v>
      </c>
      <c r="T115" s="505">
        <v>0.04</v>
      </c>
      <c r="U115" s="506">
        <f t="shared" si="22"/>
        <v>0</v>
      </c>
      <c r="V115" s="505">
        <v>0.5</v>
      </c>
      <c r="W115" s="506">
        <f t="shared" si="23"/>
        <v>0</v>
      </c>
      <c r="X115" s="505">
        <v>7.0000000000000007E-2</v>
      </c>
      <c r="Y115" s="506">
        <f t="shared" si="24"/>
        <v>0</v>
      </c>
      <c r="Z115" s="505">
        <v>12</v>
      </c>
      <c r="AA115" s="506">
        <f t="shared" si="25"/>
        <v>0</v>
      </c>
      <c r="AB115" s="505">
        <v>0</v>
      </c>
      <c r="AC115" s="506">
        <f t="shared" si="26"/>
        <v>0</v>
      </c>
      <c r="AD115" s="507" t="s">
        <v>507</v>
      </c>
    </row>
    <row r="116" spans="1:30" ht="13.5" thickBot="1" x14ac:dyDescent="0.25">
      <c r="A116" s="502" t="s">
        <v>520</v>
      </c>
      <c r="B116" s="508"/>
      <c r="C116" s="504">
        <v>100</v>
      </c>
      <c r="D116" s="505">
        <v>0</v>
      </c>
      <c r="E116" s="506">
        <f t="shared" si="14"/>
        <v>0</v>
      </c>
      <c r="F116" s="505">
        <v>3</v>
      </c>
      <c r="G116" s="506">
        <f t="shared" si="15"/>
        <v>0</v>
      </c>
      <c r="H116" s="505">
        <v>0.05</v>
      </c>
      <c r="I116" s="506">
        <f t="shared" si="16"/>
        <v>0</v>
      </c>
      <c r="J116" s="505">
        <v>0.1</v>
      </c>
      <c r="K116" s="506">
        <f t="shared" si="17"/>
        <v>0</v>
      </c>
      <c r="L116" s="505">
        <v>20</v>
      </c>
      <c r="M116" s="506">
        <f t="shared" si="18"/>
        <v>0</v>
      </c>
      <c r="N116" s="505">
        <v>150</v>
      </c>
      <c r="O116" s="506">
        <f t="shared" si="28"/>
        <v>0</v>
      </c>
      <c r="P116" s="505">
        <v>70</v>
      </c>
      <c r="Q116" s="506">
        <f t="shared" si="20"/>
        <v>0</v>
      </c>
      <c r="R116" s="505">
        <v>0.02</v>
      </c>
      <c r="S116" s="506">
        <f t="shared" si="21"/>
        <v>0</v>
      </c>
      <c r="T116" s="505">
        <v>0.19</v>
      </c>
      <c r="U116" s="506">
        <f t="shared" si="22"/>
        <v>0</v>
      </c>
      <c r="V116" s="505">
        <v>1.6</v>
      </c>
      <c r="W116" s="506">
        <f t="shared" si="23"/>
        <v>0</v>
      </c>
      <c r="X116" s="505">
        <v>0.06</v>
      </c>
      <c r="Y116" s="506">
        <f t="shared" si="24"/>
        <v>0</v>
      </c>
      <c r="Z116" s="505">
        <v>2</v>
      </c>
      <c r="AA116" s="506">
        <f t="shared" si="25"/>
        <v>0</v>
      </c>
      <c r="AB116" s="505">
        <v>2</v>
      </c>
      <c r="AC116" s="506">
        <f t="shared" si="26"/>
        <v>0</v>
      </c>
      <c r="AD116" s="507" t="s">
        <v>507</v>
      </c>
    </row>
    <row r="117" spans="1:30" ht="13.5" thickBot="1" x14ac:dyDescent="0.25">
      <c r="A117" s="502" t="s">
        <v>521</v>
      </c>
      <c r="B117" s="508"/>
      <c r="C117" s="504">
        <v>92</v>
      </c>
      <c r="D117" s="505">
        <v>0</v>
      </c>
      <c r="E117" s="506">
        <f t="shared" si="14"/>
        <v>0</v>
      </c>
      <c r="F117" s="505">
        <v>1.2</v>
      </c>
      <c r="G117" s="506">
        <f t="shared" si="15"/>
        <v>0</v>
      </c>
      <c r="H117" s="505">
        <v>0.15</v>
      </c>
      <c r="I117" s="506">
        <f t="shared" si="16"/>
        <v>0</v>
      </c>
      <c r="J117" s="505">
        <v>1.2</v>
      </c>
      <c r="K117" s="506">
        <f t="shared" si="17"/>
        <v>0</v>
      </c>
      <c r="L117" s="505">
        <v>22</v>
      </c>
      <c r="M117" s="506">
        <f t="shared" si="18"/>
        <v>0</v>
      </c>
      <c r="N117" s="505">
        <v>235</v>
      </c>
      <c r="O117" s="506">
        <f t="shared" si="28"/>
        <v>0</v>
      </c>
      <c r="P117" s="505">
        <v>142</v>
      </c>
      <c r="Q117" s="506">
        <f t="shared" si="20"/>
        <v>0</v>
      </c>
      <c r="R117" s="505">
        <v>0.38</v>
      </c>
      <c r="S117" s="506">
        <f t="shared" si="21"/>
        <v>0</v>
      </c>
      <c r="T117" s="505">
        <v>0.26</v>
      </c>
      <c r="U117" s="506">
        <f t="shared" si="22"/>
        <v>0</v>
      </c>
      <c r="V117" s="505">
        <v>4</v>
      </c>
      <c r="W117" s="506">
        <f t="shared" si="23"/>
        <v>0</v>
      </c>
      <c r="X117" s="505">
        <v>0.18</v>
      </c>
      <c r="Y117" s="506">
        <f t="shared" si="24"/>
        <v>0</v>
      </c>
      <c r="Z117" s="505">
        <v>3</v>
      </c>
      <c r="AA117" s="506">
        <f t="shared" si="25"/>
        <v>0</v>
      </c>
      <c r="AB117" s="505">
        <v>3</v>
      </c>
      <c r="AC117" s="506">
        <f t="shared" si="26"/>
        <v>0</v>
      </c>
      <c r="AD117" s="507" t="s">
        <v>507</v>
      </c>
    </row>
    <row r="118" spans="1:30" ht="13.5" thickBot="1" x14ac:dyDescent="0.25">
      <c r="A118" s="502" t="s">
        <v>522</v>
      </c>
      <c r="B118" s="508"/>
      <c r="C118" s="504">
        <v>90</v>
      </c>
      <c r="D118" s="505">
        <v>0</v>
      </c>
      <c r="E118" s="506">
        <f t="shared" si="14"/>
        <v>0</v>
      </c>
      <c r="F118" s="505">
        <v>1</v>
      </c>
      <c r="G118" s="506">
        <f t="shared" si="15"/>
        <v>0</v>
      </c>
      <c r="H118" s="505">
        <v>0.1</v>
      </c>
      <c r="I118" s="506">
        <f t="shared" si="16"/>
        <v>0</v>
      </c>
      <c r="J118" s="505">
        <v>1.2</v>
      </c>
      <c r="K118" s="506">
        <f t="shared" si="17"/>
        <v>0</v>
      </c>
      <c r="L118" s="505">
        <v>10</v>
      </c>
      <c r="M118" s="506">
        <f t="shared" si="18"/>
        <v>0</v>
      </c>
      <c r="N118" s="505">
        <v>320</v>
      </c>
      <c r="O118" s="506">
        <f t="shared" si="28"/>
        <v>235</v>
      </c>
      <c r="P118" s="505">
        <v>102</v>
      </c>
      <c r="Q118" s="506">
        <f t="shared" si="20"/>
        <v>0</v>
      </c>
      <c r="R118" s="505">
        <v>0.1</v>
      </c>
      <c r="S118" s="506">
        <f t="shared" si="21"/>
        <v>0</v>
      </c>
      <c r="T118" s="505">
        <v>0.13</v>
      </c>
      <c r="U118" s="506">
        <f t="shared" si="22"/>
        <v>0</v>
      </c>
      <c r="V118" s="505">
        <v>4.2</v>
      </c>
      <c r="W118" s="506">
        <f t="shared" si="23"/>
        <v>0</v>
      </c>
      <c r="X118" s="505">
        <v>0.18</v>
      </c>
      <c r="Y118" s="506">
        <f t="shared" si="24"/>
        <v>0</v>
      </c>
      <c r="Z118" s="505">
        <v>4</v>
      </c>
      <c r="AA118" s="506">
        <f t="shared" si="25"/>
        <v>0</v>
      </c>
      <c r="AB118" s="505">
        <v>0</v>
      </c>
      <c r="AC118" s="506">
        <f t="shared" si="26"/>
        <v>0</v>
      </c>
      <c r="AD118" s="507" t="s">
        <v>507</v>
      </c>
    </row>
    <row r="119" spans="1:30" ht="13.5" thickBot="1" x14ac:dyDescent="0.25">
      <c r="A119" s="502" t="s">
        <v>523</v>
      </c>
      <c r="B119" s="508">
        <v>100</v>
      </c>
      <c r="C119" s="504">
        <v>80</v>
      </c>
      <c r="D119" s="505">
        <v>0</v>
      </c>
      <c r="E119" s="506">
        <f t="shared" si="14"/>
        <v>0</v>
      </c>
      <c r="F119" s="505">
        <v>2.2000000000000002</v>
      </c>
      <c r="G119" s="506">
        <f t="shared" si="15"/>
        <v>2.2000000000000002</v>
      </c>
      <c r="H119" s="505">
        <v>0.05</v>
      </c>
      <c r="I119" s="506">
        <f t="shared" si="16"/>
        <v>0.05</v>
      </c>
      <c r="J119" s="505">
        <v>0.8</v>
      </c>
      <c r="K119" s="506">
        <f t="shared" si="17"/>
        <v>0.8</v>
      </c>
      <c r="L119" s="505">
        <v>45</v>
      </c>
      <c r="M119" s="506">
        <f t="shared" si="18"/>
        <v>45</v>
      </c>
      <c r="N119" s="505">
        <v>240</v>
      </c>
      <c r="O119" s="506">
        <f t="shared" si="28"/>
        <v>0</v>
      </c>
      <c r="P119" s="505">
        <v>31</v>
      </c>
      <c r="Q119" s="506">
        <f t="shared" si="20"/>
        <v>31</v>
      </c>
      <c r="R119" s="505">
        <v>0.05</v>
      </c>
      <c r="S119" s="506">
        <f t="shared" si="21"/>
        <v>0.05</v>
      </c>
      <c r="T119" s="505">
        <v>0.18</v>
      </c>
      <c r="U119" s="506">
        <f t="shared" si="22"/>
        <v>0.18</v>
      </c>
      <c r="V119" s="505">
        <v>0.7</v>
      </c>
      <c r="W119" s="506">
        <f t="shared" si="23"/>
        <v>0.7</v>
      </c>
      <c r="X119" s="505">
        <v>0.05</v>
      </c>
      <c r="Y119" s="506">
        <f t="shared" si="24"/>
        <v>0.05</v>
      </c>
      <c r="Z119" s="505">
        <v>6</v>
      </c>
      <c r="AA119" s="506">
        <f t="shared" si="25"/>
        <v>6</v>
      </c>
      <c r="AB119" s="505">
        <v>0</v>
      </c>
      <c r="AC119" s="506">
        <f t="shared" si="26"/>
        <v>0</v>
      </c>
      <c r="AD119" s="507" t="s">
        <v>507</v>
      </c>
    </row>
    <row r="120" spans="1:30" ht="13.5" thickBot="1" x14ac:dyDescent="0.25">
      <c r="A120" s="502" t="s">
        <v>524</v>
      </c>
      <c r="B120" s="508"/>
      <c r="C120" s="504">
        <v>92</v>
      </c>
      <c r="D120" s="505">
        <v>0</v>
      </c>
      <c r="E120" s="506">
        <f t="shared" si="14"/>
        <v>0</v>
      </c>
      <c r="F120" s="505">
        <v>2.6</v>
      </c>
      <c r="G120" s="506">
        <f t="shared" si="15"/>
        <v>0</v>
      </c>
      <c r="H120" s="505">
        <v>0.02</v>
      </c>
      <c r="I120" s="506">
        <f t="shared" si="16"/>
        <v>0</v>
      </c>
      <c r="J120" s="505">
        <v>0.3</v>
      </c>
      <c r="K120" s="506">
        <f t="shared" si="17"/>
        <v>0</v>
      </c>
      <c r="L120" s="505">
        <v>14</v>
      </c>
      <c r="M120" s="506">
        <f t="shared" si="18"/>
        <v>0</v>
      </c>
      <c r="N120" s="505">
        <v>184</v>
      </c>
      <c r="O120" s="506">
        <f t="shared" si="28"/>
        <v>1200</v>
      </c>
      <c r="P120" s="505">
        <v>33</v>
      </c>
      <c r="Q120" s="506">
        <f t="shared" si="20"/>
        <v>0</v>
      </c>
      <c r="R120" s="505">
        <v>0.05</v>
      </c>
      <c r="S120" s="506">
        <f t="shared" si="21"/>
        <v>0</v>
      </c>
      <c r="T120" s="505">
        <v>0.05</v>
      </c>
      <c r="U120" s="506">
        <f t="shared" si="22"/>
        <v>0</v>
      </c>
      <c r="V120" s="505">
        <v>0.6</v>
      </c>
      <c r="W120" s="506">
        <f t="shared" si="23"/>
        <v>0</v>
      </c>
      <c r="X120" s="505">
        <v>0.08</v>
      </c>
      <c r="Y120" s="506">
        <f t="shared" si="24"/>
        <v>0</v>
      </c>
      <c r="Z120" s="505">
        <v>11</v>
      </c>
      <c r="AA120" s="506">
        <f t="shared" si="25"/>
        <v>0</v>
      </c>
      <c r="AB120" s="505">
        <v>0</v>
      </c>
      <c r="AC120" s="506">
        <f t="shared" si="26"/>
        <v>0</v>
      </c>
      <c r="AD120" s="507" t="s">
        <v>507</v>
      </c>
    </row>
    <row r="121" spans="1:30" ht="13.5" thickBot="1" x14ac:dyDescent="0.25">
      <c r="A121" s="502" t="s">
        <v>525</v>
      </c>
      <c r="B121" s="508">
        <v>500</v>
      </c>
      <c r="C121" s="504">
        <v>100</v>
      </c>
      <c r="D121" s="505">
        <v>0</v>
      </c>
      <c r="E121" s="506">
        <f t="shared" si="14"/>
        <v>0</v>
      </c>
      <c r="F121" s="505">
        <v>2.8</v>
      </c>
      <c r="G121" s="506">
        <f t="shared" si="15"/>
        <v>14</v>
      </c>
      <c r="H121" s="505">
        <v>0.03</v>
      </c>
      <c r="I121" s="506">
        <f t="shared" si="16"/>
        <v>0.15</v>
      </c>
      <c r="J121" s="505">
        <v>0.4</v>
      </c>
      <c r="K121" s="506">
        <f t="shared" si="17"/>
        <v>2</v>
      </c>
      <c r="L121" s="505">
        <v>11</v>
      </c>
      <c r="M121" s="506">
        <f t="shared" si="18"/>
        <v>55</v>
      </c>
      <c r="N121" s="505">
        <v>290</v>
      </c>
      <c r="O121" s="506">
        <f t="shared" si="28"/>
        <v>0</v>
      </c>
      <c r="P121" s="505">
        <v>26</v>
      </c>
      <c r="Q121" s="506">
        <f t="shared" si="20"/>
        <v>130</v>
      </c>
      <c r="R121" s="505">
        <v>0.03</v>
      </c>
      <c r="S121" s="506">
        <f t="shared" si="21"/>
        <v>0.15</v>
      </c>
      <c r="T121" s="505">
        <v>0.03</v>
      </c>
      <c r="U121" s="506">
        <f t="shared" si="22"/>
        <v>0.15</v>
      </c>
      <c r="V121" s="505">
        <v>0.7</v>
      </c>
      <c r="W121" s="506">
        <f t="shared" si="23"/>
        <v>3.5</v>
      </c>
      <c r="X121" s="505">
        <v>0.12</v>
      </c>
      <c r="Y121" s="506">
        <f t="shared" si="24"/>
        <v>0.6</v>
      </c>
      <c r="Z121" s="505">
        <v>21</v>
      </c>
      <c r="AA121" s="506">
        <f t="shared" si="25"/>
        <v>105</v>
      </c>
      <c r="AB121" s="505">
        <v>0</v>
      </c>
      <c r="AC121" s="506">
        <f t="shared" si="26"/>
        <v>0</v>
      </c>
      <c r="AD121" s="507" t="s">
        <v>507</v>
      </c>
    </row>
    <row r="122" spans="1:30" ht="13.5" thickBot="1" x14ac:dyDescent="0.25">
      <c r="A122" s="502" t="s">
        <v>526</v>
      </c>
      <c r="B122" s="508"/>
      <c r="C122" s="504">
        <v>100</v>
      </c>
      <c r="D122" s="505">
        <v>0</v>
      </c>
      <c r="E122" s="506">
        <f t="shared" si="14"/>
        <v>0</v>
      </c>
      <c r="F122" s="505">
        <v>20.399999999999999</v>
      </c>
      <c r="G122" s="506">
        <f t="shared" si="15"/>
        <v>0</v>
      </c>
      <c r="H122" s="505">
        <v>0.06</v>
      </c>
      <c r="I122" s="506">
        <f t="shared" si="16"/>
        <v>0</v>
      </c>
      <c r="J122" s="505">
        <v>2.2000000000000002</v>
      </c>
      <c r="K122" s="506">
        <f t="shared" si="17"/>
        <v>0</v>
      </c>
      <c r="L122" s="505">
        <v>27</v>
      </c>
      <c r="M122" s="506">
        <f t="shared" si="18"/>
        <v>0</v>
      </c>
      <c r="N122" s="505">
        <v>250</v>
      </c>
      <c r="O122" s="506">
        <f t="shared" si="28"/>
        <v>0</v>
      </c>
      <c r="P122" s="505">
        <v>85</v>
      </c>
      <c r="Q122" s="506">
        <f t="shared" si="20"/>
        <v>0</v>
      </c>
      <c r="R122" s="505">
        <v>0.2</v>
      </c>
      <c r="S122" s="506">
        <f t="shared" si="21"/>
        <v>0</v>
      </c>
      <c r="T122" s="505">
        <v>0.1</v>
      </c>
      <c r="U122" s="506">
        <f t="shared" si="22"/>
        <v>0</v>
      </c>
      <c r="V122" s="505">
        <v>3.1</v>
      </c>
      <c r="W122" s="506">
        <f t="shared" si="23"/>
        <v>0</v>
      </c>
      <c r="X122" s="505">
        <v>0.44</v>
      </c>
      <c r="Y122" s="506">
        <f t="shared" si="24"/>
        <v>0</v>
      </c>
      <c r="Z122" s="505">
        <v>43</v>
      </c>
      <c r="AA122" s="506">
        <f t="shared" si="25"/>
        <v>0</v>
      </c>
      <c r="AB122" s="505">
        <v>0</v>
      </c>
      <c r="AC122" s="506">
        <f t="shared" si="26"/>
        <v>0</v>
      </c>
      <c r="AD122" s="507" t="s">
        <v>507</v>
      </c>
    </row>
    <row r="123" spans="1:30" ht="13.5" thickBot="1" x14ac:dyDescent="0.25">
      <c r="A123" s="502" t="s">
        <v>527</v>
      </c>
      <c r="B123" s="508"/>
      <c r="C123" s="504">
        <v>40</v>
      </c>
      <c r="D123" s="505">
        <v>0</v>
      </c>
      <c r="E123" s="506">
        <f t="shared" si="14"/>
        <v>0</v>
      </c>
      <c r="F123" s="505">
        <v>2.1</v>
      </c>
      <c r="G123" s="506">
        <f t="shared" si="15"/>
        <v>0</v>
      </c>
      <c r="H123" s="505">
        <v>0.09</v>
      </c>
      <c r="I123" s="506">
        <f t="shared" si="16"/>
        <v>0</v>
      </c>
      <c r="J123" s="505">
        <v>1.5</v>
      </c>
      <c r="K123" s="506">
        <f t="shared" si="17"/>
        <v>0</v>
      </c>
      <c r="L123" s="505">
        <v>160</v>
      </c>
      <c r="M123" s="506">
        <f t="shared" si="18"/>
        <v>0</v>
      </c>
      <c r="N123" s="505">
        <v>369</v>
      </c>
      <c r="O123" s="506">
        <f t="shared" si="28"/>
        <v>0</v>
      </c>
      <c r="P123" s="505">
        <v>52</v>
      </c>
      <c r="Q123" s="506">
        <f t="shared" si="20"/>
        <v>0</v>
      </c>
      <c r="R123" s="505">
        <v>0.04</v>
      </c>
      <c r="S123" s="506">
        <f t="shared" si="21"/>
        <v>0</v>
      </c>
      <c r="T123" s="505">
        <v>0.09</v>
      </c>
      <c r="U123" s="506">
        <f t="shared" si="22"/>
        <v>0</v>
      </c>
      <c r="V123" s="505">
        <v>0.3</v>
      </c>
      <c r="W123" s="506">
        <f t="shared" si="23"/>
        <v>0</v>
      </c>
      <c r="X123" s="505">
        <v>7.0000000000000007E-2</v>
      </c>
      <c r="Y123" s="506">
        <f t="shared" si="24"/>
        <v>0</v>
      </c>
      <c r="Z123" s="505">
        <v>15</v>
      </c>
      <c r="AA123" s="506">
        <f t="shared" si="25"/>
        <v>0</v>
      </c>
      <c r="AB123" s="505">
        <v>0</v>
      </c>
      <c r="AC123" s="506">
        <f t="shared" si="26"/>
        <v>0</v>
      </c>
      <c r="AD123" s="507" t="s">
        <v>507</v>
      </c>
    </row>
    <row r="124" spans="1:30" ht="13.5" thickBot="1" x14ac:dyDescent="0.25">
      <c r="A124" s="502" t="s">
        <v>528</v>
      </c>
      <c r="B124" s="508"/>
      <c r="C124" s="504">
        <v>83</v>
      </c>
      <c r="D124" s="505">
        <v>0</v>
      </c>
      <c r="E124" s="506">
        <f t="shared" si="14"/>
        <v>0</v>
      </c>
      <c r="F124" s="505">
        <v>0.4</v>
      </c>
      <c r="G124" s="506">
        <f t="shared" si="15"/>
        <v>0</v>
      </c>
      <c r="H124" s="505">
        <v>7.0000000000000007E-2</v>
      </c>
      <c r="I124" s="506">
        <f t="shared" si="16"/>
        <v>0</v>
      </c>
      <c r="J124" s="505">
        <v>2.9</v>
      </c>
      <c r="K124" s="506">
        <f t="shared" si="17"/>
        <v>0</v>
      </c>
      <c r="L124" s="505">
        <v>78</v>
      </c>
      <c r="M124" s="506">
        <f t="shared" si="18"/>
        <v>0</v>
      </c>
      <c r="N124" s="505">
        <v>530</v>
      </c>
      <c r="O124" s="506">
        <f t="shared" si="28"/>
        <v>0</v>
      </c>
      <c r="P124" s="505">
        <v>62</v>
      </c>
      <c r="Q124" s="506">
        <f t="shared" si="20"/>
        <v>0</v>
      </c>
      <c r="R124" s="505">
        <v>7.0000000000000007E-2</v>
      </c>
      <c r="S124" s="506">
        <f t="shared" si="21"/>
        <v>0</v>
      </c>
      <c r="T124" s="505">
        <v>0.37</v>
      </c>
      <c r="U124" s="506">
        <f t="shared" si="22"/>
        <v>0</v>
      </c>
      <c r="V124" s="505">
        <v>0.4</v>
      </c>
      <c r="W124" s="506">
        <f t="shared" si="23"/>
        <v>0</v>
      </c>
      <c r="X124" s="505">
        <v>0.17</v>
      </c>
      <c r="Y124" s="506">
        <f t="shared" si="24"/>
        <v>0</v>
      </c>
      <c r="Z124" s="505">
        <v>54</v>
      </c>
      <c r="AA124" s="506">
        <f t="shared" si="25"/>
        <v>0</v>
      </c>
      <c r="AB124" s="505">
        <v>0</v>
      </c>
      <c r="AC124" s="506">
        <f t="shared" si="26"/>
        <v>0</v>
      </c>
      <c r="AD124" s="507" t="s">
        <v>507</v>
      </c>
    </row>
    <row r="125" spans="1:30" ht="13.5" thickBot="1" x14ac:dyDescent="0.25">
      <c r="A125" s="502" t="s">
        <v>529</v>
      </c>
      <c r="B125" s="508"/>
      <c r="C125" s="504">
        <v>81</v>
      </c>
      <c r="D125" s="505">
        <v>0</v>
      </c>
      <c r="E125" s="506">
        <f t="shared" si="14"/>
        <v>0</v>
      </c>
      <c r="F125" s="505">
        <v>2.5</v>
      </c>
      <c r="G125" s="506">
        <f t="shared" si="15"/>
        <v>0</v>
      </c>
      <c r="H125" s="505">
        <v>0.05</v>
      </c>
      <c r="I125" s="506">
        <f t="shared" si="16"/>
        <v>0</v>
      </c>
      <c r="J125" s="505">
        <v>0.9</v>
      </c>
      <c r="K125" s="506">
        <f t="shared" si="17"/>
        <v>0</v>
      </c>
      <c r="L125" s="505">
        <v>20</v>
      </c>
      <c r="M125" s="506">
        <f t="shared" si="18"/>
        <v>0</v>
      </c>
      <c r="N125" s="505">
        <v>202</v>
      </c>
      <c r="O125" s="506">
        <f t="shared" si="28"/>
        <v>0</v>
      </c>
      <c r="P125" s="505">
        <v>40</v>
      </c>
      <c r="Q125" s="506">
        <f t="shared" si="20"/>
        <v>0</v>
      </c>
      <c r="R125" s="505">
        <v>0.03</v>
      </c>
      <c r="S125" s="506">
        <f t="shared" si="21"/>
        <v>0</v>
      </c>
      <c r="T125" s="505">
        <v>0.02</v>
      </c>
      <c r="U125" s="506">
        <f t="shared" si="22"/>
        <v>0</v>
      </c>
      <c r="V125" s="505">
        <v>0.5</v>
      </c>
      <c r="W125" s="506">
        <f t="shared" si="23"/>
        <v>0</v>
      </c>
      <c r="X125" s="505">
        <v>0.02</v>
      </c>
      <c r="Y125" s="506">
        <f t="shared" si="24"/>
        <v>0</v>
      </c>
      <c r="Z125" s="505">
        <v>9</v>
      </c>
      <c r="AA125" s="506">
        <f t="shared" si="25"/>
        <v>0</v>
      </c>
      <c r="AB125" s="505">
        <v>0</v>
      </c>
      <c r="AC125" s="506">
        <f t="shared" si="26"/>
        <v>0</v>
      </c>
      <c r="AD125" s="507" t="s">
        <v>507</v>
      </c>
    </row>
    <row r="126" spans="1:30" ht="13.5" thickBot="1" x14ac:dyDescent="0.25">
      <c r="A126" s="502" t="s">
        <v>530</v>
      </c>
      <c r="B126" s="508"/>
      <c r="C126" s="504">
        <v>88</v>
      </c>
      <c r="D126" s="505">
        <v>0</v>
      </c>
      <c r="E126" s="506">
        <f t="shared" si="14"/>
        <v>0</v>
      </c>
      <c r="F126" s="505">
        <v>1.3</v>
      </c>
      <c r="G126" s="506">
        <f t="shared" si="15"/>
        <v>0</v>
      </c>
      <c r="H126" s="505">
        <v>0.02</v>
      </c>
      <c r="I126" s="506">
        <f t="shared" si="16"/>
        <v>0</v>
      </c>
      <c r="J126" s="505">
        <v>0.5</v>
      </c>
      <c r="K126" s="506">
        <f t="shared" si="17"/>
        <v>0</v>
      </c>
      <c r="L126" s="505">
        <v>21</v>
      </c>
      <c r="M126" s="506">
        <f t="shared" si="18"/>
        <v>0</v>
      </c>
      <c r="N126" s="505">
        <v>210</v>
      </c>
      <c r="O126" s="506">
        <f>N125*B129/100</f>
        <v>0</v>
      </c>
      <c r="P126" s="505">
        <v>65</v>
      </c>
      <c r="Q126" s="506">
        <f t="shared" si="20"/>
        <v>0</v>
      </c>
      <c r="R126" s="505">
        <v>0.08</v>
      </c>
      <c r="S126" s="506">
        <f t="shared" si="21"/>
        <v>0</v>
      </c>
      <c r="T126" s="505">
        <v>0.12</v>
      </c>
      <c r="U126" s="506">
        <f t="shared" si="22"/>
        <v>0</v>
      </c>
      <c r="V126" s="505">
        <v>0.7</v>
      </c>
      <c r="W126" s="506">
        <f t="shared" si="23"/>
        <v>0</v>
      </c>
      <c r="X126" s="505">
        <v>0.15</v>
      </c>
      <c r="Y126" s="506">
        <f t="shared" si="24"/>
        <v>0</v>
      </c>
      <c r="Z126" s="505">
        <v>11</v>
      </c>
      <c r="AA126" s="506">
        <f t="shared" si="25"/>
        <v>0</v>
      </c>
      <c r="AB126" s="505">
        <v>0</v>
      </c>
      <c r="AC126" s="506">
        <f t="shared" si="26"/>
        <v>0</v>
      </c>
      <c r="AD126" s="507" t="s">
        <v>507</v>
      </c>
    </row>
    <row r="127" spans="1:30" ht="13.5" thickBot="1" x14ac:dyDescent="0.25">
      <c r="A127" s="502" t="s">
        <v>655</v>
      </c>
      <c r="B127" s="508">
        <v>250</v>
      </c>
      <c r="C127" s="504">
        <v>100</v>
      </c>
      <c r="D127" s="505">
        <v>5</v>
      </c>
      <c r="E127" s="506">
        <f t="shared" si="14"/>
        <v>12.5</v>
      </c>
      <c r="F127" s="505">
        <v>2</v>
      </c>
      <c r="G127" s="506">
        <f t="shared" si="15"/>
        <v>5</v>
      </c>
      <c r="H127" s="505">
        <v>25</v>
      </c>
      <c r="I127" s="506">
        <f t="shared" si="16"/>
        <v>62.5</v>
      </c>
      <c r="J127" s="505">
        <v>0.2</v>
      </c>
      <c r="K127" s="506">
        <f t="shared" si="17"/>
        <v>0.5</v>
      </c>
      <c r="L127" s="505">
        <v>372</v>
      </c>
      <c r="M127" s="506">
        <f t="shared" si="18"/>
        <v>930</v>
      </c>
      <c r="N127" s="505">
        <v>187</v>
      </c>
      <c r="O127" s="506">
        <f>N126*B130/100</f>
        <v>945</v>
      </c>
      <c r="P127" s="505">
        <v>306</v>
      </c>
      <c r="Q127" s="506">
        <f t="shared" si="20"/>
        <v>765</v>
      </c>
      <c r="R127" s="505">
        <v>0.04</v>
      </c>
      <c r="S127" s="506">
        <f t="shared" si="21"/>
        <v>0.1</v>
      </c>
      <c r="T127" s="505">
        <v>2</v>
      </c>
      <c r="U127" s="506">
        <f t="shared" si="22"/>
        <v>5</v>
      </c>
      <c r="V127" s="505">
        <v>1.75</v>
      </c>
      <c r="W127" s="506">
        <f t="shared" si="23"/>
        <v>4.375</v>
      </c>
      <c r="X127" s="505">
        <v>0.1</v>
      </c>
      <c r="Y127" s="506">
        <f t="shared" si="24"/>
        <v>0.25</v>
      </c>
      <c r="Z127" s="505">
        <v>0.6</v>
      </c>
      <c r="AA127" s="506">
        <f t="shared" si="25"/>
        <v>1.5</v>
      </c>
      <c r="AB127" s="505">
        <v>12</v>
      </c>
      <c r="AC127" s="506">
        <f t="shared" si="26"/>
        <v>30</v>
      </c>
      <c r="AD127" s="555" t="s">
        <v>532</v>
      </c>
    </row>
    <row r="128" spans="1:30" ht="13.5" thickBot="1" x14ac:dyDescent="0.25">
      <c r="A128" s="502" t="s">
        <v>653</v>
      </c>
      <c r="B128" s="508">
        <v>110</v>
      </c>
      <c r="C128" s="504">
        <v>100</v>
      </c>
      <c r="D128" s="505">
        <v>5</v>
      </c>
      <c r="E128" s="506">
        <f t="shared" si="14"/>
        <v>5.5</v>
      </c>
      <c r="F128" s="505">
        <v>1.4</v>
      </c>
      <c r="G128" s="506">
        <f t="shared" si="15"/>
        <v>1.54</v>
      </c>
      <c r="H128" s="505">
        <v>10</v>
      </c>
      <c r="I128" s="506">
        <f t="shared" si="16"/>
        <v>11</v>
      </c>
      <c r="J128" s="505">
        <v>0.2</v>
      </c>
      <c r="K128" s="506">
        <f t="shared" si="17"/>
        <v>0.22</v>
      </c>
      <c r="L128" s="505">
        <v>24</v>
      </c>
      <c r="M128" s="506">
        <f t="shared" si="18"/>
        <v>26.4</v>
      </c>
      <c r="N128" s="505">
        <v>12.6</v>
      </c>
      <c r="O128" s="506">
        <f>N126*B130/100</f>
        <v>945</v>
      </c>
      <c r="P128" s="505">
        <v>20</v>
      </c>
      <c r="Q128" s="506">
        <f t="shared" si="20"/>
        <v>22</v>
      </c>
      <c r="R128" s="505">
        <v>0.04</v>
      </c>
      <c r="S128" s="506">
        <f t="shared" si="21"/>
        <v>4.4000000000000004E-2</v>
      </c>
      <c r="T128" s="505">
        <v>0.1</v>
      </c>
      <c r="U128" s="506">
        <f t="shared" si="22"/>
        <v>0.11</v>
      </c>
      <c r="V128" s="505">
        <v>0.14000000000000001</v>
      </c>
      <c r="W128" s="506">
        <f t="shared" si="23"/>
        <v>0.15400000000000003</v>
      </c>
      <c r="X128" s="505">
        <v>0</v>
      </c>
      <c r="Y128" s="506">
        <f t="shared" si="24"/>
        <v>0</v>
      </c>
      <c r="Z128" s="505">
        <v>0.6</v>
      </c>
      <c r="AA128" s="506">
        <f t="shared" si="25"/>
        <v>0.66</v>
      </c>
      <c r="AB128" s="505">
        <v>9</v>
      </c>
      <c r="AC128" s="506">
        <f t="shared" si="26"/>
        <v>9.9</v>
      </c>
      <c r="AD128" s="555" t="s">
        <v>532</v>
      </c>
    </row>
    <row r="129" spans="1:30" ht="13.5" thickBot="1" x14ac:dyDescent="0.25">
      <c r="A129" s="502" t="s">
        <v>531</v>
      </c>
      <c r="B129" s="508"/>
      <c r="C129" s="504">
        <v>100</v>
      </c>
      <c r="D129" s="505">
        <v>0</v>
      </c>
      <c r="E129" s="506">
        <f t="shared" si="14"/>
        <v>0</v>
      </c>
      <c r="F129" s="505">
        <v>12.6</v>
      </c>
      <c r="G129" s="506">
        <f t="shared" si="15"/>
        <v>0</v>
      </c>
      <c r="H129" s="505">
        <v>0.68</v>
      </c>
      <c r="I129" s="506">
        <f t="shared" si="16"/>
        <v>0</v>
      </c>
      <c r="J129" s="505">
        <v>2</v>
      </c>
      <c r="K129" s="506">
        <f t="shared" si="17"/>
        <v>0</v>
      </c>
      <c r="L129" s="505">
        <v>12</v>
      </c>
      <c r="M129" s="506">
        <f t="shared" si="18"/>
        <v>0</v>
      </c>
      <c r="N129" s="505">
        <v>176</v>
      </c>
      <c r="O129" s="506">
        <f>N126*B130/100</f>
        <v>945</v>
      </c>
      <c r="P129" s="505">
        <v>49</v>
      </c>
      <c r="Q129" s="506">
        <f t="shared" si="20"/>
        <v>0</v>
      </c>
      <c r="R129" s="505">
        <v>0.23</v>
      </c>
      <c r="S129" s="506">
        <f t="shared" si="21"/>
        <v>0</v>
      </c>
      <c r="T129" s="505">
        <v>0.1</v>
      </c>
      <c r="U129" s="506">
        <f t="shared" si="22"/>
        <v>0</v>
      </c>
      <c r="V129" s="505">
        <v>1.9</v>
      </c>
      <c r="W129" s="506">
        <f t="shared" si="23"/>
        <v>0</v>
      </c>
      <c r="X129" s="505">
        <v>0.23</v>
      </c>
      <c r="Y129" s="506">
        <f t="shared" si="24"/>
        <v>0</v>
      </c>
      <c r="Z129" s="505">
        <v>0</v>
      </c>
      <c r="AA129" s="506">
        <f t="shared" si="25"/>
        <v>0</v>
      </c>
      <c r="AB129" s="505">
        <v>0</v>
      </c>
      <c r="AC129" s="506">
        <f t="shared" si="26"/>
        <v>0</v>
      </c>
      <c r="AD129" s="507" t="s">
        <v>532</v>
      </c>
    </row>
    <row r="130" spans="1:30" ht="13.5" thickBot="1" x14ac:dyDescent="0.25">
      <c r="A130" s="502" t="s">
        <v>533</v>
      </c>
      <c r="B130" s="508">
        <v>450</v>
      </c>
      <c r="C130" s="504">
        <v>100</v>
      </c>
      <c r="D130" s="505">
        <v>2</v>
      </c>
      <c r="E130" s="506">
        <f t="shared" ref="E130:E193" si="29">D130*B130/100</f>
        <v>9</v>
      </c>
      <c r="F130" s="505">
        <v>12.9</v>
      </c>
      <c r="G130" s="506">
        <f t="shared" ref="G130:G193" si="30">F130*B130/100</f>
        <v>58.05</v>
      </c>
      <c r="H130" s="505">
        <v>1.99</v>
      </c>
      <c r="I130" s="506">
        <f t="shared" ref="I130:I193" si="31">H130*B130/100</f>
        <v>8.9550000000000001</v>
      </c>
      <c r="J130" s="505">
        <v>2</v>
      </c>
      <c r="K130" s="506">
        <f t="shared" ref="K130:K193" si="32">J130*B130/100</f>
        <v>9</v>
      </c>
      <c r="L130" s="505">
        <v>12</v>
      </c>
      <c r="M130" s="506">
        <f t="shared" ref="M130:M193" si="33">L130*B130/100</f>
        <v>54</v>
      </c>
      <c r="N130" s="505">
        <v>302</v>
      </c>
      <c r="O130" s="506">
        <f t="shared" ref="O130:O161" si="34">N129*B131/100</f>
        <v>0</v>
      </c>
      <c r="P130" s="505">
        <v>48</v>
      </c>
      <c r="Q130" s="506">
        <f t="shared" ref="Q130:Q193" si="35">P130*B130/100</f>
        <v>216</v>
      </c>
      <c r="R130" s="505">
        <v>0.2</v>
      </c>
      <c r="S130" s="506">
        <f t="shared" ref="S130:S193" si="36">R130*B130/100</f>
        <v>0.9</v>
      </c>
      <c r="T130" s="505">
        <v>0.19</v>
      </c>
      <c r="U130" s="506">
        <f t="shared" ref="U130:U193" si="37">T130*B130/100</f>
        <v>0.85499999999999998</v>
      </c>
      <c r="V130" s="505">
        <v>0</v>
      </c>
      <c r="W130" s="506">
        <f t="shared" ref="W130:W193" si="38">V130*B130/100</f>
        <v>0</v>
      </c>
      <c r="X130" s="505">
        <v>0.18</v>
      </c>
      <c r="Y130" s="506">
        <f t="shared" ref="Y130:Y193" si="39">X130*B130/100</f>
        <v>0.81</v>
      </c>
      <c r="Z130" s="505">
        <v>7</v>
      </c>
      <c r="AA130" s="506">
        <f t="shared" ref="AA130:AA193" si="40">Z130*B130/100</f>
        <v>31.5</v>
      </c>
      <c r="AB130" s="505">
        <v>0</v>
      </c>
      <c r="AC130" s="506">
        <f t="shared" ref="AC130:AC193" si="41">AB130*B130/100</f>
        <v>0</v>
      </c>
      <c r="AD130" s="507" t="s">
        <v>532</v>
      </c>
    </row>
    <row r="131" spans="1:30" ht="13.5" thickBot="1" x14ac:dyDescent="0.25">
      <c r="A131" s="502" t="s">
        <v>534</v>
      </c>
      <c r="B131" s="508"/>
      <c r="C131" s="504">
        <v>100</v>
      </c>
      <c r="D131" s="505">
        <v>3</v>
      </c>
      <c r="E131" s="506">
        <f t="shared" si="29"/>
        <v>0</v>
      </c>
      <c r="F131" s="505">
        <v>0.8</v>
      </c>
      <c r="G131" s="506">
        <f t="shared" si="30"/>
        <v>0</v>
      </c>
      <c r="H131" s="505">
        <v>3.14</v>
      </c>
      <c r="I131" s="506">
        <f t="shared" si="31"/>
        <v>0</v>
      </c>
      <c r="J131" s="505">
        <v>0.3</v>
      </c>
      <c r="K131" s="506">
        <f t="shared" si="32"/>
        <v>0</v>
      </c>
      <c r="L131" s="505">
        <v>112</v>
      </c>
      <c r="M131" s="506">
        <f t="shared" si="33"/>
        <v>0</v>
      </c>
      <c r="N131" s="505">
        <v>150</v>
      </c>
      <c r="O131" s="506">
        <f t="shared" si="34"/>
        <v>0</v>
      </c>
      <c r="P131" s="505">
        <v>210</v>
      </c>
      <c r="Q131" s="506">
        <f t="shared" si="35"/>
        <v>0</v>
      </c>
      <c r="R131" s="505">
        <v>0.23</v>
      </c>
      <c r="S131" s="506">
        <f t="shared" si="36"/>
        <v>0</v>
      </c>
      <c r="T131" s="505">
        <v>0.12</v>
      </c>
      <c r="U131" s="506">
        <f t="shared" si="37"/>
        <v>0</v>
      </c>
      <c r="V131" s="505">
        <v>0.2</v>
      </c>
      <c r="W131" s="506">
        <f t="shared" si="38"/>
        <v>0</v>
      </c>
      <c r="X131" s="505">
        <v>0.06</v>
      </c>
      <c r="Y131" s="506">
        <f t="shared" si="39"/>
        <v>0</v>
      </c>
      <c r="Z131" s="505">
        <v>1</v>
      </c>
      <c r="AA131" s="506">
        <f t="shared" si="40"/>
        <v>0</v>
      </c>
      <c r="AB131" s="505">
        <v>0</v>
      </c>
      <c r="AC131" s="506">
        <f t="shared" si="41"/>
        <v>0</v>
      </c>
      <c r="AD131" s="507" t="s">
        <v>532</v>
      </c>
    </row>
    <row r="132" spans="1:30" ht="13.5" thickBot="1" x14ac:dyDescent="0.25">
      <c r="A132" s="502" t="s">
        <v>535</v>
      </c>
      <c r="B132" s="508"/>
      <c r="C132" s="504">
        <v>100</v>
      </c>
      <c r="D132" s="505">
        <v>11</v>
      </c>
      <c r="E132" s="506">
        <f t="shared" si="29"/>
        <v>0</v>
      </c>
      <c r="F132" s="505">
        <v>2.7</v>
      </c>
      <c r="G132" s="506">
        <f t="shared" si="30"/>
        <v>0</v>
      </c>
      <c r="H132" s="505">
        <v>4.84</v>
      </c>
      <c r="I132" s="506">
        <f t="shared" si="31"/>
        <v>0</v>
      </c>
      <c r="J132" s="505">
        <v>2.5</v>
      </c>
      <c r="K132" s="506">
        <f t="shared" si="32"/>
        <v>0</v>
      </c>
      <c r="L132" s="505">
        <v>224</v>
      </c>
      <c r="M132" s="506">
        <f t="shared" si="33"/>
        <v>0</v>
      </c>
      <c r="N132" s="505">
        <v>291</v>
      </c>
      <c r="O132" s="506">
        <f t="shared" si="34"/>
        <v>0</v>
      </c>
      <c r="P132" s="505">
        <v>362</v>
      </c>
      <c r="Q132" s="506">
        <f t="shared" si="35"/>
        <v>0</v>
      </c>
      <c r="R132" s="505">
        <v>0.32</v>
      </c>
      <c r="S132" s="506">
        <f t="shared" si="36"/>
        <v>0</v>
      </c>
      <c r="T132" s="505">
        <v>0.22</v>
      </c>
      <c r="U132" s="506">
        <f t="shared" si="37"/>
        <v>0</v>
      </c>
      <c r="V132" s="505">
        <v>2.8</v>
      </c>
      <c r="W132" s="506">
        <f t="shared" si="38"/>
        <v>0</v>
      </c>
      <c r="X132" s="505">
        <v>0.34</v>
      </c>
      <c r="Y132" s="506">
        <f t="shared" si="39"/>
        <v>0</v>
      </c>
      <c r="Z132" s="505">
        <v>0</v>
      </c>
      <c r="AA132" s="506">
        <f t="shared" si="40"/>
        <v>0</v>
      </c>
      <c r="AB132" s="505">
        <v>1</v>
      </c>
      <c r="AC132" s="506">
        <f t="shared" si="41"/>
        <v>0</v>
      </c>
      <c r="AD132" s="507" t="s">
        <v>532</v>
      </c>
    </row>
    <row r="133" spans="1:30" ht="13.5" thickBot="1" x14ac:dyDescent="0.25">
      <c r="A133" s="502" t="s">
        <v>536</v>
      </c>
      <c r="B133" s="508"/>
      <c r="C133" s="504">
        <v>100</v>
      </c>
      <c r="D133" s="505">
        <v>4</v>
      </c>
      <c r="E133" s="506">
        <f t="shared" si="29"/>
        <v>0</v>
      </c>
      <c r="F133" s="505">
        <v>1</v>
      </c>
      <c r="G133" s="506">
        <f t="shared" si="30"/>
        <v>0</v>
      </c>
      <c r="H133" s="505">
        <v>2.75</v>
      </c>
      <c r="I133" s="506">
        <f t="shared" si="31"/>
        <v>0</v>
      </c>
      <c r="J133" s="505">
        <v>0.8</v>
      </c>
      <c r="K133" s="506">
        <f t="shared" si="32"/>
        <v>0</v>
      </c>
      <c r="L133" s="505">
        <v>79</v>
      </c>
      <c r="M133" s="506">
        <f t="shared" si="33"/>
        <v>0</v>
      </c>
      <c r="N133" s="505">
        <v>121</v>
      </c>
      <c r="O133" s="506">
        <f t="shared" si="34"/>
        <v>0</v>
      </c>
      <c r="P133" s="505">
        <v>100</v>
      </c>
      <c r="Q133" s="506">
        <f t="shared" si="35"/>
        <v>0</v>
      </c>
      <c r="R133" s="505">
        <v>0.05</v>
      </c>
      <c r="S133" s="506">
        <f t="shared" si="36"/>
        <v>0</v>
      </c>
      <c r="T133" s="505">
        <v>0.09</v>
      </c>
      <c r="U133" s="506">
        <f t="shared" si="37"/>
        <v>0</v>
      </c>
      <c r="V133" s="505">
        <v>0.8</v>
      </c>
      <c r="W133" s="506">
        <f t="shared" si="38"/>
        <v>0</v>
      </c>
      <c r="X133" s="505">
        <v>7.0000000000000007E-2</v>
      </c>
      <c r="Y133" s="506">
        <f t="shared" si="39"/>
        <v>0</v>
      </c>
      <c r="Z133" s="505">
        <v>2</v>
      </c>
      <c r="AA133" s="506">
        <f t="shared" si="40"/>
        <v>0</v>
      </c>
      <c r="AB133" s="505">
        <v>0</v>
      </c>
      <c r="AC133" s="506">
        <f t="shared" si="41"/>
        <v>0</v>
      </c>
      <c r="AD133" s="507" t="s">
        <v>532</v>
      </c>
    </row>
    <row r="134" spans="1:30" ht="13.5" thickBot="1" x14ac:dyDescent="0.25">
      <c r="A134" s="502" t="s">
        <v>537</v>
      </c>
      <c r="B134" s="508"/>
      <c r="C134" s="504">
        <v>94</v>
      </c>
      <c r="D134" s="505">
        <v>0</v>
      </c>
      <c r="E134" s="506">
        <f t="shared" si="29"/>
        <v>0</v>
      </c>
      <c r="F134" s="505">
        <v>6.8</v>
      </c>
      <c r="G134" s="506">
        <f t="shared" si="30"/>
        <v>0</v>
      </c>
      <c r="H134" s="505">
        <v>0.01</v>
      </c>
      <c r="I134" s="506">
        <f t="shared" si="31"/>
        <v>0</v>
      </c>
      <c r="J134" s="505">
        <v>0.5</v>
      </c>
      <c r="K134" s="506">
        <f t="shared" si="32"/>
        <v>0</v>
      </c>
      <c r="L134" s="505">
        <v>16</v>
      </c>
      <c r="M134" s="506">
        <f t="shared" si="33"/>
        <v>0</v>
      </c>
      <c r="N134" s="505">
        <v>320</v>
      </c>
      <c r="O134" s="506">
        <f t="shared" si="34"/>
        <v>0</v>
      </c>
      <c r="P134" s="505">
        <v>16</v>
      </c>
      <c r="Q134" s="506">
        <f t="shared" si="35"/>
        <v>0</v>
      </c>
      <c r="R134" s="505">
        <v>0.03</v>
      </c>
      <c r="S134" s="506">
        <f t="shared" si="36"/>
        <v>0</v>
      </c>
      <c r="T134" s="505">
        <v>0.03</v>
      </c>
      <c r="U134" s="506">
        <f t="shared" si="37"/>
        <v>0</v>
      </c>
      <c r="V134" s="505">
        <v>0.5</v>
      </c>
      <c r="W134" s="506">
        <f t="shared" si="38"/>
        <v>0</v>
      </c>
      <c r="X134" s="505">
        <v>0.08</v>
      </c>
      <c r="Y134" s="506">
        <f t="shared" si="39"/>
        <v>0</v>
      </c>
      <c r="Z134" s="505">
        <v>13</v>
      </c>
      <c r="AA134" s="506">
        <f t="shared" si="40"/>
        <v>0</v>
      </c>
      <c r="AB134" s="505">
        <v>0</v>
      </c>
      <c r="AC134" s="506">
        <f t="shared" si="41"/>
        <v>0</v>
      </c>
      <c r="AD134" s="507" t="s">
        <v>112</v>
      </c>
    </row>
    <row r="135" spans="1:30" ht="13.5" thickBot="1" x14ac:dyDescent="0.25">
      <c r="A135" s="502" t="s">
        <v>538</v>
      </c>
      <c r="B135" s="508"/>
      <c r="C135" s="504">
        <v>57</v>
      </c>
      <c r="D135" s="505">
        <v>0</v>
      </c>
      <c r="E135" s="506">
        <f t="shared" si="29"/>
        <v>0</v>
      </c>
      <c r="F135" s="505">
        <v>10</v>
      </c>
      <c r="G135" s="506">
        <f t="shared" si="30"/>
        <v>0</v>
      </c>
      <c r="H135" s="505">
        <v>0</v>
      </c>
      <c r="I135" s="506">
        <f t="shared" si="31"/>
        <v>0</v>
      </c>
      <c r="J135" s="505">
        <v>0.5</v>
      </c>
      <c r="K135" s="506">
        <f t="shared" si="32"/>
        <v>0</v>
      </c>
      <c r="L135" s="505">
        <v>17</v>
      </c>
      <c r="M135" s="506">
        <f t="shared" si="33"/>
        <v>0</v>
      </c>
      <c r="N135" s="505">
        <v>250</v>
      </c>
      <c r="O135" s="506">
        <f t="shared" si="34"/>
        <v>0</v>
      </c>
      <c r="P135" s="505">
        <v>8</v>
      </c>
      <c r="Q135" s="506">
        <f t="shared" si="35"/>
        <v>0</v>
      </c>
      <c r="R135" s="505">
        <v>0.05</v>
      </c>
      <c r="S135" s="506">
        <f t="shared" si="36"/>
        <v>0</v>
      </c>
      <c r="T135" s="505">
        <v>0.01</v>
      </c>
      <c r="U135" s="506">
        <f t="shared" si="37"/>
        <v>0</v>
      </c>
      <c r="V135" s="505">
        <v>0.2</v>
      </c>
      <c r="W135" s="506">
        <f t="shared" si="38"/>
        <v>0</v>
      </c>
      <c r="X135" s="505">
        <v>0.09</v>
      </c>
      <c r="Y135" s="506">
        <f t="shared" si="39"/>
        <v>0</v>
      </c>
      <c r="Z135" s="505">
        <v>17</v>
      </c>
      <c r="AA135" s="506">
        <f t="shared" si="40"/>
        <v>0</v>
      </c>
      <c r="AB135" s="505">
        <v>0</v>
      </c>
      <c r="AC135" s="506">
        <f t="shared" si="41"/>
        <v>0</v>
      </c>
      <c r="AD135" s="507" t="s">
        <v>112</v>
      </c>
    </row>
    <row r="136" spans="1:30" ht="13.5" thickBot="1" x14ac:dyDescent="0.25">
      <c r="A136" s="502" t="s">
        <v>539</v>
      </c>
      <c r="B136" s="508"/>
      <c r="C136" s="504">
        <v>80</v>
      </c>
      <c r="D136" s="505">
        <v>0</v>
      </c>
      <c r="E136" s="506">
        <f t="shared" si="29"/>
        <v>0</v>
      </c>
      <c r="F136" s="505">
        <v>7.8</v>
      </c>
      <c r="G136" s="506">
        <f t="shared" si="30"/>
        <v>0</v>
      </c>
      <c r="H136" s="505">
        <v>0.03</v>
      </c>
      <c r="I136" s="506">
        <f t="shared" si="31"/>
        <v>0</v>
      </c>
      <c r="J136" s="505">
        <v>0.2</v>
      </c>
      <c r="K136" s="506">
        <f t="shared" si="32"/>
        <v>0</v>
      </c>
      <c r="L136" s="505">
        <v>49</v>
      </c>
      <c r="M136" s="506">
        <f t="shared" si="33"/>
        <v>0</v>
      </c>
      <c r="N136" s="505">
        <v>200</v>
      </c>
      <c r="O136" s="506">
        <f t="shared" si="34"/>
        <v>375</v>
      </c>
      <c r="P136" s="505">
        <v>22</v>
      </c>
      <c r="Q136" s="506">
        <f t="shared" si="35"/>
        <v>0</v>
      </c>
      <c r="R136" s="505">
        <v>0.06</v>
      </c>
      <c r="S136" s="506">
        <f t="shared" si="36"/>
        <v>0</v>
      </c>
      <c r="T136" s="505">
        <v>0.05</v>
      </c>
      <c r="U136" s="506">
        <f t="shared" si="37"/>
        <v>0</v>
      </c>
      <c r="V136" s="505">
        <v>0.2</v>
      </c>
      <c r="W136" s="506">
        <f t="shared" si="38"/>
        <v>0</v>
      </c>
      <c r="X136" s="505">
        <v>0.1</v>
      </c>
      <c r="Y136" s="506">
        <f t="shared" si="39"/>
        <v>0</v>
      </c>
      <c r="Z136" s="505">
        <v>50</v>
      </c>
      <c r="AA136" s="506">
        <f t="shared" si="40"/>
        <v>0</v>
      </c>
      <c r="AB136" s="505">
        <v>0</v>
      </c>
      <c r="AC136" s="506">
        <f t="shared" si="41"/>
        <v>0</v>
      </c>
      <c r="AD136" s="509" t="s">
        <v>112</v>
      </c>
    </row>
    <row r="137" spans="1:30" ht="13.5" thickBot="1" x14ac:dyDescent="0.25">
      <c r="A137" s="502" t="s">
        <v>540</v>
      </c>
      <c r="B137" s="508">
        <v>150</v>
      </c>
      <c r="C137" s="504">
        <v>65</v>
      </c>
      <c r="D137" s="505">
        <v>0</v>
      </c>
      <c r="E137" s="506">
        <f t="shared" si="29"/>
        <v>0</v>
      </c>
      <c r="F137" s="505">
        <v>12.8</v>
      </c>
      <c r="G137" s="506">
        <f t="shared" si="30"/>
        <v>19.2</v>
      </c>
      <c r="H137" s="505">
        <v>0.1</v>
      </c>
      <c r="I137" s="506">
        <f t="shared" si="31"/>
        <v>0.15</v>
      </c>
      <c r="J137" s="505">
        <v>0.8</v>
      </c>
      <c r="K137" s="506">
        <f t="shared" si="32"/>
        <v>1.2</v>
      </c>
      <c r="L137" s="505">
        <v>7</v>
      </c>
      <c r="M137" s="506">
        <f t="shared" si="33"/>
        <v>10.5</v>
      </c>
      <c r="N137" s="505">
        <v>350</v>
      </c>
      <c r="O137" s="506">
        <f t="shared" si="34"/>
        <v>0</v>
      </c>
      <c r="P137" s="505">
        <v>28</v>
      </c>
      <c r="Q137" s="506">
        <f t="shared" si="35"/>
        <v>42</v>
      </c>
      <c r="R137" s="505">
        <v>0.06</v>
      </c>
      <c r="S137" s="506">
        <f t="shared" si="36"/>
        <v>0.09</v>
      </c>
      <c r="T137" s="505">
        <v>0.06</v>
      </c>
      <c r="U137" s="506">
        <f t="shared" si="37"/>
        <v>0.09</v>
      </c>
      <c r="V137" s="505">
        <v>0.7</v>
      </c>
      <c r="W137" s="506">
        <f t="shared" si="38"/>
        <v>1.05</v>
      </c>
      <c r="X137" s="505">
        <v>0.28999999999999998</v>
      </c>
      <c r="Y137" s="506">
        <f t="shared" si="39"/>
        <v>0.435</v>
      </c>
      <c r="Z137" s="505">
        <v>16</v>
      </c>
      <c r="AA137" s="506">
        <f t="shared" si="40"/>
        <v>24</v>
      </c>
      <c r="AB137" s="505">
        <v>0</v>
      </c>
      <c r="AC137" s="506">
        <f t="shared" si="41"/>
        <v>0</v>
      </c>
      <c r="AD137" s="507" t="s">
        <v>112</v>
      </c>
    </row>
    <row r="138" spans="1:30" ht="13.5" thickBot="1" x14ac:dyDescent="0.25">
      <c r="A138" s="502" t="s">
        <v>541</v>
      </c>
      <c r="B138" s="508"/>
      <c r="C138" s="504">
        <v>69</v>
      </c>
      <c r="D138" s="505">
        <v>0</v>
      </c>
      <c r="E138" s="506">
        <f t="shared" si="29"/>
        <v>0</v>
      </c>
      <c r="F138" s="505">
        <v>8.1</v>
      </c>
      <c r="G138" s="506">
        <f t="shared" si="30"/>
        <v>0</v>
      </c>
      <c r="H138" s="505">
        <v>0.31</v>
      </c>
      <c r="I138" s="506">
        <f t="shared" si="31"/>
        <v>0</v>
      </c>
      <c r="J138" s="505">
        <v>1.2</v>
      </c>
      <c r="K138" s="506">
        <f t="shared" si="32"/>
        <v>0</v>
      </c>
      <c r="L138" s="505">
        <v>38</v>
      </c>
      <c r="M138" s="506">
        <f t="shared" si="33"/>
        <v>0</v>
      </c>
      <c r="N138" s="505">
        <v>500</v>
      </c>
      <c r="O138" s="506">
        <f t="shared" si="34"/>
        <v>0</v>
      </c>
      <c r="P138" s="505">
        <v>89</v>
      </c>
      <c r="Q138" s="506">
        <f t="shared" si="35"/>
        <v>0</v>
      </c>
      <c r="R138" s="505">
        <v>0.22</v>
      </c>
      <c r="S138" s="506">
        <f t="shared" si="36"/>
        <v>0</v>
      </c>
      <c r="T138" s="505">
        <v>0.35</v>
      </c>
      <c r="U138" s="506">
        <f t="shared" si="37"/>
        <v>0</v>
      </c>
      <c r="V138" s="505">
        <v>1.4</v>
      </c>
      <c r="W138" s="506">
        <f t="shared" si="38"/>
        <v>0</v>
      </c>
      <c r="X138" s="505">
        <v>0.42</v>
      </c>
      <c r="Y138" s="506">
        <f t="shared" si="39"/>
        <v>0</v>
      </c>
      <c r="Z138" s="505">
        <v>2</v>
      </c>
      <c r="AA138" s="506">
        <f t="shared" si="40"/>
        <v>0</v>
      </c>
      <c r="AB138" s="505">
        <v>0</v>
      </c>
      <c r="AC138" s="506">
        <f t="shared" si="41"/>
        <v>0</v>
      </c>
      <c r="AD138" s="507" t="s">
        <v>112</v>
      </c>
    </row>
    <row r="139" spans="1:30" ht="13.5" thickBot="1" x14ac:dyDescent="0.25">
      <c r="A139" s="502" t="s">
        <v>542</v>
      </c>
      <c r="B139" s="508"/>
      <c r="C139" s="504">
        <v>86</v>
      </c>
      <c r="D139" s="505">
        <v>0</v>
      </c>
      <c r="E139" s="506">
        <f t="shared" si="29"/>
        <v>0</v>
      </c>
      <c r="F139" s="505">
        <v>9</v>
      </c>
      <c r="G139" s="506">
        <f t="shared" si="30"/>
        <v>0</v>
      </c>
      <c r="H139" s="505">
        <v>0.02</v>
      </c>
      <c r="I139" s="506">
        <f t="shared" si="31"/>
        <v>0</v>
      </c>
      <c r="J139" s="505">
        <v>0.6</v>
      </c>
      <c r="K139" s="506">
        <f t="shared" si="32"/>
        <v>0</v>
      </c>
      <c r="L139" s="505">
        <v>30</v>
      </c>
      <c r="M139" s="506">
        <f t="shared" si="33"/>
        <v>0</v>
      </c>
      <c r="N139" s="505">
        <v>229</v>
      </c>
      <c r="O139" s="506">
        <f t="shared" si="34"/>
        <v>0</v>
      </c>
      <c r="P139" s="505">
        <v>18</v>
      </c>
      <c r="Q139" s="506">
        <f t="shared" si="35"/>
        <v>0</v>
      </c>
      <c r="R139" s="505">
        <v>0.03</v>
      </c>
      <c r="S139" s="506">
        <f t="shared" si="36"/>
        <v>0</v>
      </c>
      <c r="T139" s="505">
        <v>0.03</v>
      </c>
      <c r="U139" s="506">
        <f t="shared" si="37"/>
        <v>0</v>
      </c>
      <c r="V139" s="505">
        <v>0.5</v>
      </c>
      <c r="W139" s="506">
        <f t="shared" si="38"/>
        <v>0</v>
      </c>
      <c r="X139" s="505">
        <v>0.04</v>
      </c>
      <c r="Y139" s="506">
        <f t="shared" si="39"/>
        <v>0</v>
      </c>
      <c r="Z139" s="505">
        <v>11</v>
      </c>
      <c r="AA139" s="506">
        <f t="shared" si="40"/>
        <v>0</v>
      </c>
      <c r="AB139" s="505">
        <v>0</v>
      </c>
      <c r="AC139" s="506">
        <f t="shared" si="41"/>
        <v>0</v>
      </c>
      <c r="AD139" s="507" t="s">
        <v>112</v>
      </c>
    </row>
    <row r="140" spans="1:30" ht="13.5" thickBot="1" x14ac:dyDescent="0.25">
      <c r="A140" s="502" t="s">
        <v>543</v>
      </c>
      <c r="B140" s="508"/>
      <c r="C140" s="504">
        <v>52</v>
      </c>
      <c r="D140" s="505">
        <v>0</v>
      </c>
      <c r="E140" s="506">
        <f t="shared" si="29"/>
        <v>0</v>
      </c>
      <c r="F140" s="505">
        <v>3.7</v>
      </c>
      <c r="G140" s="506">
        <f t="shared" si="30"/>
        <v>0</v>
      </c>
      <c r="H140" s="505">
        <v>0</v>
      </c>
      <c r="I140" s="506">
        <f t="shared" si="31"/>
        <v>0</v>
      </c>
      <c r="J140" s="505">
        <v>0.2</v>
      </c>
      <c r="K140" s="506">
        <f t="shared" si="32"/>
        <v>0</v>
      </c>
      <c r="L140" s="505">
        <v>7</v>
      </c>
      <c r="M140" s="506">
        <f t="shared" si="33"/>
        <v>0</v>
      </c>
      <c r="N140" s="505">
        <v>280</v>
      </c>
      <c r="O140" s="506">
        <f t="shared" si="34"/>
        <v>0</v>
      </c>
      <c r="P140" s="505">
        <v>2</v>
      </c>
      <c r="Q140" s="506">
        <f t="shared" si="35"/>
        <v>0</v>
      </c>
      <c r="R140" s="505">
        <v>0.02</v>
      </c>
      <c r="S140" s="506">
        <f t="shared" si="36"/>
        <v>0</v>
      </c>
      <c r="T140" s="505">
        <v>0.02</v>
      </c>
      <c r="U140" s="506">
        <f t="shared" si="37"/>
        <v>0</v>
      </c>
      <c r="V140" s="505">
        <v>0.1</v>
      </c>
      <c r="W140" s="506">
        <f t="shared" si="38"/>
        <v>0</v>
      </c>
      <c r="X140" s="505">
        <v>0.08</v>
      </c>
      <c r="Y140" s="506">
        <f t="shared" si="39"/>
        <v>0</v>
      </c>
      <c r="Z140" s="505">
        <v>8</v>
      </c>
      <c r="AA140" s="506">
        <f t="shared" si="40"/>
        <v>0</v>
      </c>
      <c r="AB140" s="505">
        <v>0</v>
      </c>
      <c r="AC140" s="506">
        <f t="shared" si="41"/>
        <v>0</v>
      </c>
      <c r="AD140" s="507" t="s">
        <v>112</v>
      </c>
    </row>
    <row r="141" spans="1:30" ht="13.5" thickBot="1" x14ac:dyDescent="0.25">
      <c r="A141" s="502" t="s">
        <v>544</v>
      </c>
      <c r="B141" s="508"/>
      <c r="C141" s="504">
        <v>90</v>
      </c>
      <c r="D141" s="505">
        <v>0</v>
      </c>
      <c r="E141" s="506">
        <f t="shared" si="29"/>
        <v>0</v>
      </c>
      <c r="F141" s="505">
        <v>63.1</v>
      </c>
      <c r="G141" s="506">
        <f t="shared" si="30"/>
        <v>0</v>
      </c>
      <c r="H141" s="505">
        <v>0.25</v>
      </c>
      <c r="I141" s="506">
        <f t="shared" si="31"/>
        <v>0</v>
      </c>
      <c r="J141" s="505">
        <v>2.7</v>
      </c>
      <c r="K141" s="506">
        <f t="shared" si="32"/>
        <v>0</v>
      </c>
      <c r="L141" s="505">
        <v>69</v>
      </c>
      <c r="M141" s="506">
        <f t="shared" si="33"/>
        <v>0</v>
      </c>
      <c r="N141" s="505">
        <v>750</v>
      </c>
      <c r="O141" s="506">
        <f t="shared" si="34"/>
        <v>0</v>
      </c>
      <c r="P141" s="505">
        <v>65</v>
      </c>
      <c r="Q141" s="506">
        <f t="shared" si="35"/>
        <v>0</v>
      </c>
      <c r="R141" s="505">
        <v>0.08</v>
      </c>
      <c r="S141" s="506">
        <f t="shared" si="36"/>
        <v>0</v>
      </c>
      <c r="T141" s="505">
        <v>0.15</v>
      </c>
      <c r="U141" s="506">
        <f t="shared" si="37"/>
        <v>0</v>
      </c>
      <c r="V141" s="505">
        <v>2.2000000000000002</v>
      </c>
      <c r="W141" s="506">
        <f t="shared" si="38"/>
        <v>0</v>
      </c>
      <c r="X141" s="505">
        <v>0.19</v>
      </c>
      <c r="Y141" s="506">
        <f t="shared" si="39"/>
        <v>0</v>
      </c>
      <c r="Z141" s="505">
        <v>0</v>
      </c>
      <c r="AA141" s="506">
        <f t="shared" si="40"/>
        <v>0</v>
      </c>
      <c r="AB141" s="505">
        <v>0</v>
      </c>
      <c r="AC141" s="506">
        <f t="shared" si="41"/>
        <v>0</v>
      </c>
      <c r="AD141" s="507" t="s">
        <v>112</v>
      </c>
    </row>
    <row r="142" spans="1:30" ht="13.5" thickBot="1" x14ac:dyDescent="0.25">
      <c r="A142" s="502" t="s">
        <v>545</v>
      </c>
      <c r="B142" s="508"/>
      <c r="C142" s="504">
        <v>75</v>
      </c>
      <c r="D142" s="505">
        <v>0</v>
      </c>
      <c r="E142" s="506">
        <f t="shared" si="29"/>
        <v>0</v>
      </c>
      <c r="F142" s="505">
        <v>11.2</v>
      </c>
      <c r="G142" s="506">
        <f t="shared" si="30"/>
        <v>0</v>
      </c>
      <c r="H142" s="505">
        <v>0.04</v>
      </c>
      <c r="I142" s="506">
        <f t="shared" si="31"/>
        <v>0</v>
      </c>
      <c r="J142" s="505">
        <v>0.5</v>
      </c>
      <c r="K142" s="506">
        <f t="shared" si="32"/>
        <v>0</v>
      </c>
      <c r="L142" s="505">
        <v>43</v>
      </c>
      <c r="M142" s="506">
        <f t="shared" si="33"/>
        <v>0</v>
      </c>
      <c r="N142" s="505">
        <v>270</v>
      </c>
      <c r="O142" s="506">
        <f t="shared" si="34"/>
        <v>0</v>
      </c>
      <c r="P142" s="505">
        <v>25</v>
      </c>
      <c r="Q142" s="506">
        <f t="shared" si="35"/>
        <v>0</v>
      </c>
      <c r="R142" s="505">
        <v>0.03</v>
      </c>
      <c r="S142" s="506">
        <f t="shared" si="36"/>
        <v>0</v>
      </c>
      <c r="T142" s="505">
        <v>0.04</v>
      </c>
      <c r="U142" s="506">
        <f t="shared" si="37"/>
        <v>0</v>
      </c>
      <c r="V142" s="505">
        <v>0.4</v>
      </c>
      <c r="W142" s="506">
        <f t="shared" si="38"/>
        <v>0</v>
      </c>
      <c r="X142" s="505">
        <v>0.09</v>
      </c>
      <c r="Y142" s="506">
        <f t="shared" si="39"/>
        <v>0</v>
      </c>
      <c r="Z142" s="505">
        <v>7</v>
      </c>
      <c r="AA142" s="506">
        <f t="shared" si="40"/>
        <v>0</v>
      </c>
      <c r="AB142" s="505">
        <v>0</v>
      </c>
      <c r="AC142" s="506">
        <f t="shared" si="41"/>
        <v>0</v>
      </c>
      <c r="AD142" s="507" t="s">
        <v>112</v>
      </c>
    </row>
    <row r="143" spans="1:30" ht="13.5" thickBot="1" x14ac:dyDescent="0.25">
      <c r="A143" s="502" t="s">
        <v>546</v>
      </c>
      <c r="B143" s="508"/>
      <c r="C143" s="504">
        <v>100</v>
      </c>
      <c r="D143" s="505">
        <v>0</v>
      </c>
      <c r="E143" s="506">
        <f t="shared" si="29"/>
        <v>0</v>
      </c>
      <c r="F143" s="505">
        <v>58</v>
      </c>
      <c r="G143" s="506">
        <f t="shared" si="30"/>
        <v>0</v>
      </c>
      <c r="H143" s="505">
        <v>0.54</v>
      </c>
      <c r="I143" s="506">
        <f t="shared" si="31"/>
        <v>0</v>
      </c>
      <c r="J143" s="505">
        <v>3</v>
      </c>
      <c r="K143" s="506">
        <f t="shared" si="32"/>
        <v>0</v>
      </c>
      <c r="L143" s="505">
        <v>186</v>
      </c>
      <c r="M143" s="506">
        <f t="shared" si="33"/>
        <v>0</v>
      </c>
      <c r="N143" s="505">
        <v>1010</v>
      </c>
      <c r="O143" s="506">
        <f t="shared" si="34"/>
        <v>405</v>
      </c>
      <c r="P143" s="505">
        <v>111</v>
      </c>
      <c r="Q143" s="506">
        <f t="shared" si="35"/>
        <v>0</v>
      </c>
      <c r="R143" s="505">
        <v>0.14000000000000001</v>
      </c>
      <c r="S143" s="506">
        <f t="shared" si="36"/>
        <v>0</v>
      </c>
      <c r="T143" s="505">
        <v>0.1</v>
      </c>
      <c r="U143" s="506">
        <f t="shared" si="37"/>
        <v>0</v>
      </c>
      <c r="V143" s="505">
        <v>0.6</v>
      </c>
      <c r="W143" s="506">
        <f t="shared" si="38"/>
        <v>0</v>
      </c>
      <c r="X143" s="505">
        <v>0.26</v>
      </c>
      <c r="Y143" s="506">
        <f t="shared" si="39"/>
        <v>0</v>
      </c>
      <c r="Z143" s="505">
        <v>0</v>
      </c>
      <c r="AA143" s="506">
        <f t="shared" si="40"/>
        <v>0</v>
      </c>
      <c r="AB143" s="505">
        <v>0</v>
      </c>
      <c r="AC143" s="506">
        <f t="shared" si="41"/>
        <v>0</v>
      </c>
      <c r="AD143" s="507" t="s">
        <v>112</v>
      </c>
    </row>
    <row r="144" spans="1:30" ht="13.5" thickBot="1" x14ac:dyDescent="0.25">
      <c r="A144" s="502" t="s">
        <v>547</v>
      </c>
      <c r="B144" s="508">
        <v>150</v>
      </c>
      <c r="C144" s="504">
        <v>94</v>
      </c>
      <c r="D144" s="505">
        <v>0</v>
      </c>
      <c r="E144" s="506">
        <f t="shared" si="29"/>
        <v>0</v>
      </c>
      <c r="F144" s="505">
        <v>5.3</v>
      </c>
      <c r="G144" s="506">
        <f t="shared" si="30"/>
        <v>7.95</v>
      </c>
      <c r="H144" s="505">
        <v>0.02</v>
      </c>
      <c r="I144" s="506">
        <f t="shared" si="31"/>
        <v>0.03</v>
      </c>
      <c r="J144" s="505">
        <v>0.8</v>
      </c>
      <c r="K144" s="506">
        <f t="shared" si="32"/>
        <v>1.2</v>
      </c>
      <c r="L144" s="505">
        <v>35</v>
      </c>
      <c r="M144" s="506">
        <f t="shared" si="33"/>
        <v>52.5</v>
      </c>
      <c r="N144" s="505">
        <v>160</v>
      </c>
      <c r="O144" s="506">
        <f t="shared" si="34"/>
        <v>0</v>
      </c>
      <c r="P144" s="505">
        <v>28</v>
      </c>
      <c r="Q144" s="506">
        <f t="shared" si="35"/>
        <v>42</v>
      </c>
      <c r="R144" s="505">
        <v>0.02</v>
      </c>
      <c r="S144" s="506">
        <f t="shared" si="36"/>
        <v>0.03</v>
      </c>
      <c r="T144" s="505">
        <v>0.04</v>
      </c>
      <c r="U144" s="506">
        <f t="shared" si="37"/>
        <v>0.06</v>
      </c>
      <c r="V144" s="505">
        <v>0.5</v>
      </c>
      <c r="W144" s="506">
        <f t="shared" si="38"/>
        <v>0.75</v>
      </c>
      <c r="X144" s="505">
        <v>0.05</v>
      </c>
      <c r="Y144" s="506">
        <f t="shared" si="39"/>
        <v>7.4999999999999997E-2</v>
      </c>
      <c r="Z144" s="505">
        <v>54</v>
      </c>
      <c r="AA144" s="506">
        <f t="shared" si="40"/>
        <v>81</v>
      </c>
      <c r="AB144" s="505">
        <v>0</v>
      </c>
      <c r="AC144" s="506">
        <f t="shared" si="41"/>
        <v>0</v>
      </c>
      <c r="AD144" s="507" t="s">
        <v>112</v>
      </c>
    </row>
    <row r="145" spans="1:30" ht="13.5" thickBot="1" x14ac:dyDescent="0.25">
      <c r="A145" s="502" t="s">
        <v>548</v>
      </c>
      <c r="B145" s="508"/>
      <c r="C145" s="504">
        <v>87</v>
      </c>
      <c r="D145" s="505">
        <v>0</v>
      </c>
      <c r="E145" s="506">
        <f t="shared" si="29"/>
        <v>0</v>
      </c>
      <c r="F145" s="505">
        <v>9</v>
      </c>
      <c r="G145" s="506">
        <f t="shared" si="30"/>
        <v>0</v>
      </c>
      <c r="H145" s="505">
        <v>0.04</v>
      </c>
      <c r="I145" s="506">
        <f t="shared" si="31"/>
        <v>0</v>
      </c>
      <c r="J145" s="505">
        <v>0.5</v>
      </c>
      <c r="K145" s="506">
        <f t="shared" si="32"/>
        <v>0</v>
      </c>
      <c r="L145" s="505">
        <v>25</v>
      </c>
      <c r="M145" s="506">
        <f t="shared" si="33"/>
        <v>0</v>
      </c>
      <c r="N145" s="505">
        <v>400</v>
      </c>
      <c r="O145" s="506">
        <f t="shared" si="34"/>
        <v>0</v>
      </c>
      <c r="P145" s="505">
        <v>70</v>
      </c>
      <c r="Q145" s="506">
        <f t="shared" si="35"/>
        <v>0</v>
      </c>
      <c r="R145" s="505">
        <v>0.02</v>
      </c>
      <c r="S145" s="506">
        <f t="shared" si="36"/>
        <v>0</v>
      </c>
      <c r="T145" s="505">
        <v>0.05</v>
      </c>
      <c r="U145" s="506">
        <f t="shared" si="37"/>
        <v>0</v>
      </c>
      <c r="V145" s="505">
        <v>0.4</v>
      </c>
      <c r="W145" s="506">
        <f t="shared" si="38"/>
        <v>0</v>
      </c>
      <c r="X145" s="505">
        <v>0.15</v>
      </c>
      <c r="Y145" s="506">
        <f t="shared" si="39"/>
        <v>0</v>
      </c>
      <c r="Z145" s="505">
        <v>85</v>
      </c>
      <c r="AA145" s="506">
        <f t="shared" si="40"/>
        <v>0</v>
      </c>
      <c r="AB145" s="505">
        <v>0</v>
      </c>
      <c r="AC145" s="506">
        <f t="shared" si="41"/>
        <v>0</v>
      </c>
      <c r="AD145" s="507" t="s">
        <v>112</v>
      </c>
    </row>
    <row r="146" spans="1:30" ht="13.5" thickBot="1" x14ac:dyDescent="0.25">
      <c r="A146" s="502" t="s">
        <v>549</v>
      </c>
      <c r="B146" s="508"/>
      <c r="C146" s="504">
        <v>100</v>
      </c>
      <c r="D146" s="505">
        <v>0</v>
      </c>
      <c r="E146" s="506">
        <f t="shared" si="29"/>
        <v>0</v>
      </c>
      <c r="F146" s="505">
        <v>14.8</v>
      </c>
      <c r="G146" s="506">
        <f t="shared" si="30"/>
        <v>0</v>
      </c>
      <c r="H146" s="505">
        <v>0</v>
      </c>
      <c r="I146" s="506">
        <f t="shared" si="31"/>
        <v>0</v>
      </c>
      <c r="J146" s="505">
        <v>0.3</v>
      </c>
      <c r="K146" s="506">
        <f t="shared" si="32"/>
        <v>0</v>
      </c>
      <c r="L146" s="505">
        <v>5</v>
      </c>
      <c r="M146" s="506">
        <f t="shared" si="33"/>
        <v>0</v>
      </c>
      <c r="N146" s="505">
        <v>95</v>
      </c>
      <c r="O146" s="506">
        <f t="shared" si="34"/>
        <v>0</v>
      </c>
      <c r="P146" s="505">
        <v>9</v>
      </c>
      <c r="Q146" s="506">
        <f t="shared" si="35"/>
        <v>0</v>
      </c>
      <c r="R146" s="505">
        <v>0.02</v>
      </c>
      <c r="S146" s="506">
        <f t="shared" si="36"/>
        <v>0</v>
      </c>
      <c r="T146" s="505">
        <v>0.01</v>
      </c>
      <c r="U146" s="506">
        <f t="shared" si="37"/>
        <v>0</v>
      </c>
      <c r="V146" s="505">
        <v>0.4</v>
      </c>
      <c r="W146" s="506">
        <f t="shared" si="38"/>
        <v>0</v>
      </c>
      <c r="X146" s="505">
        <v>0.03</v>
      </c>
      <c r="Y146" s="506">
        <f t="shared" si="39"/>
        <v>0</v>
      </c>
      <c r="Z146" s="505">
        <v>4</v>
      </c>
      <c r="AA146" s="506">
        <f t="shared" si="40"/>
        <v>0</v>
      </c>
      <c r="AB146" s="505">
        <v>0</v>
      </c>
      <c r="AC146" s="506">
        <f t="shared" si="41"/>
        <v>0</v>
      </c>
      <c r="AD146" s="507" t="s">
        <v>112</v>
      </c>
    </row>
    <row r="147" spans="1:30" ht="13.5" thickBot="1" x14ac:dyDescent="0.25">
      <c r="A147" s="502" t="s">
        <v>550</v>
      </c>
      <c r="B147" s="508"/>
      <c r="C147" s="504">
        <v>87</v>
      </c>
      <c r="D147" s="505">
        <v>0</v>
      </c>
      <c r="E147" s="506">
        <f t="shared" si="29"/>
        <v>0</v>
      </c>
      <c r="F147" s="505">
        <v>12.8</v>
      </c>
      <c r="G147" s="506">
        <f t="shared" si="30"/>
        <v>0</v>
      </c>
      <c r="H147" s="505">
        <v>0.02</v>
      </c>
      <c r="I147" s="506">
        <f t="shared" si="31"/>
        <v>0</v>
      </c>
      <c r="J147" s="505">
        <v>0.3</v>
      </c>
      <c r="K147" s="506">
        <f t="shared" si="32"/>
        <v>0</v>
      </c>
      <c r="L147" s="505">
        <v>30</v>
      </c>
      <c r="M147" s="506">
        <f t="shared" si="33"/>
        <v>0</v>
      </c>
      <c r="N147" s="505">
        <v>160</v>
      </c>
      <c r="O147" s="506">
        <f t="shared" si="34"/>
        <v>0</v>
      </c>
      <c r="P147" s="505">
        <v>19</v>
      </c>
      <c r="Q147" s="506">
        <f t="shared" si="35"/>
        <v>0</v>
      </c>
      <c r="R147" s="505">
        <v>0.08</v>
      </c>
      <c r="S147" s="506">
        <f t="shared" si="36"/>
        <v>0</v>
      </c>
      <c r="T147" s="505">
        <v>7.0000000000000007E-2</v>
      </c>
      <c r="U147" s="506">
        <f t="shared" si="37"/>
        <v>0</v>
      </c>
      <c r="V147" s="505">
        <v>0.3</v>
      </c>
      <c r="W147" s="506">
        <f t="shared" si="38"/>
        <v>0</v>
      </c>
      <c r="X147" s="505">
        <v>7.0000000000000007E-2</v>
      </c>
      <c r="Y147" s="506">
        <f t="shared" si="39"/>
        <v>0</v>
      </c>
      <c r="Z147" s="505">
        <v>37</v>
      </c>
      <c r="AA147" s="506">
        <f t="shared" si="40"/>
        <v>0</v>
      </c>
      <c r="AB147" s="505">
        <v>0</v>
      </c>
      <c r="AC147" s="506">
        <f t="shared" si="41"/>
        <v>0</v>
      </c>
      <c r="AD147" s="507" t="s">
        <v>112</v>
      </c>
    </row>
    <row r="148" spans="1:30" ht="13.5" thickBot="1" x14ac:dyDescent="0.25">
      <c r="A148" s="502" t="s">
        <v>551</v>
      </c>
      <c r="B148" s="508"/>
      <c r="C148" s="504">
        <v>94</v>
      </c>
      <c r="D148" s="505">
        <v>0</v>
      </c>
      <c r="E148" s="506">
        <f t="shared" si="29"/>
        <v>0</v>
      </c>
      <c r="F148" s="505">
        <v>11</v>
      </c>
      <c r="G148" s="506">
        <f t="shared" si="30"/>
        <v>0</v>
      </c>
      <c r="H148" s="505">
        <v>7.0000000000000007E-2</v>
      </c>
      <c r="I148" s="506">
        <f t="shared" si="31"/>
        <v>0</v>
      </c>
      <c r="J148" s="505">
        <v>0.3</v>
      </c>
      <c r="K148" s="506">
        <f t="shared" si="32"/>
        <v>0</v>
      </c>
      <c r="L148" s="505">
        <v>6</v>
      </c>
      <c r="M148" s="506">
        <f t="shared" si="33"/>
        <v>0</v>
      </c>
      <c r="N148" s="505">
        <v>120</v>
      </c>
      <c r="O148" s="506">
        <f t="shared" si="34"/>
        <v>0</v>
      </c>
      <c r="P148" s="505">
        <v>12</v>
      </c>
      <c r="Q148" s="506">
        <f t="shared" si="35"/>
        <v>0</v>
      </c>
      <c r="R148" s="505">
        <v>0.02</v>
      </c>
      <c r="S148" s="506">
        <f t="shared" si="36"/>
        <v>0</v>
      </c>
      <c r="T148" s="505">
        <v>0.02</v>
      </c>
      <c r="U148" s="506">
        <f t="shared" si="37"/>
        <v>0</v>
      </c>
      <c r="V148" s="505">
        <v>0.3</v>
      </c>
      <c r="W148" s="506">
        <f t="shared" si="38"/>
        <v>0</v>
      </c>
      <c r="X148" s="505">
        <v>0.11</v>
      </c>
      <c r="Y148" s="506">
        <f t="shared" si="39"/>
        <v>0</v>
      </c>
      <c r="Z148" s="505">
        <v>5</v>
      </c>
      <c r="AA148" s="506">
        <f t="shared" si="40"/>
        <v>0</v>
      </c>
      <c r="AB148" s="505">
        <v>0</v>
      </c>
      <c r="AC148" s="506">
        <f t="shared" si="41"/>
        <v>0</v>
      </c>
      <c r="AD148" s="507" t="s">
        <v>112</v>
      </c>
    </row>
    <row r="149" spans="1:30" ht="13.5" thickBot="1" x14ac:dyDescent="0.25">
      <c r="A149" s="502" t="s">
        <v>552</v>
      </c>
      <c r="B149" s="508"/>
      <c r="C149" s="504">
        <v>47</v>
      </c>
      <c r="D149" s="505">
        <v>0</v>
      </c>
      <c r="E149" s="506">
        <f t="shared" si="29"/>
        <v>0</v>
      </c>
      <c r="F149" s="505">
        <v>7.4</v>
      </c>
      <c r="G149" s="506">
        <f t="shared" si="30"/>
        <v>0</v>
      </c>
      <c r="H149" s="505">
        <v>0.05</v>
      </c>
      <c r="I149" s="506">
        <f t="shared" si="31"/>
        <v>0</v>
      </c>
      <c r="J149" s="505">
        <v>0.3</v>
      </c>
      <c r="K149" s="506">
        <f t="shared" si="32"/>
        <v>0</v>
      </c>
      <c r="L149" s="505">
        <v>19</v>
      </c>
      <c r="M149" s="506">
        <f t="shared" si="33"/>
        <v>0</v>
      </c>
      <c r="N149" s="505">
        <v>333</v>
      </c>
      <c r="O149" s="506">
        <f t="shared" si="34"/>
        <v>0</v>
      </c>
      <c r="P149" s="505">
        <v>13</v>
      </c>
      <c r="Q149" s="506">
        <f t="shared" si="35"/>
        <v>0</v>
      </c>
      <c r="R149" s="505">
        <v>0.05</v>
      </c>
      <c r="S149" s="506">
        <f t="shared" si="36"/>
        <v>0</v>
      </c>
      <c r="T149" s="505">
        <v>0.04</v>
      </c>
      <c r="U149" s="506">
        <f t="shared" si="37"/>
        <v>0</v>
      </c>
      <c r="V149" s="505">
        <v>0.6</v>
      </c>
      <c r="W149" s="506">
        <f t="shared" si="38"/>
        <v>0</v>
      </c>
      <c r="X149" s="505">
        <v>0.11</v>
      </c>
      <c r="Y149" s="506">
        <f t="shared" si="39"/>
        <v>0</v>
      </c>
      <c r="Z149" s="505">
        <v>32</v>
      </c>
      <c r="AA149" s="506">
        <f t="shared" si="40"/>
        <v>0</v>
      </c>
      <c r="AB149" s="505">
        <v>0</v>
      </c>
      <c r="AC149" s="506">
        <f t="shared" si="41"/>
        <v>0</v>
      </c>
      <c r="AD149" s="507" t="s">
        <v>112</v>
      </c>
    </row>
    <row r="150" spans="1:30" ht="13.5" thickBot="1" x14ac:dyDescent="0.25">
      <c r="A150" s="502" t="s">
        <v>553</v>
      </c>
      <c r="B150" s="508"/>
      <c r="C150" s="504">
        <v>98</v>
      </c>
      <c r="D150" s="505">
        <v>0</v>
      </c>
      <c r="E150" s="506">
        <f t="shared" si="29"/>
        <v>0</v>
      </c>
      <c r="F150" s="505">
        <v>6.9</v>
      </c>
      <c r="G150" s="506">
        <f t="shared" si="30"/>
        <v>0</v>
      </c>
      <c r="H150" s="505">
        <v>0.02</v>
      </c>
      <c r="I150" s="506">
        <f t="shared" si="31"/>
        <v>0</v>
      </c>
      <c r="J150" s="505">
        <v>0.5</v>
      </c>
      <c r="K150" s="506">
        <f t="shared" si="32"/>
        <v>0</v>
      </c>
      <c r="L150" s="505">
        <v>12</v>
      </c>
      <c r="M150" s="506">
        <f t="shared" si="33"/>
        <v>0</v>
      </c>
      <c r="N150" s="505">
        <v>88</v>
      </c>
      <c r="O150" s="506">
        <f t="shared" si="34"/>
        <v>0</v>
      </c>
      <c r="P150" s="505">
        <v>14</v>
      </c>
      <c r="Q150" s="506">
        <f t="shared" si="35"/>
        <v>0</v>
      </c>
      <c r="R150" s="505">
        <v>0.03</v>
      </c>
      <c r="S150" s="506">
        <f t="shared" si="36"/>
        <v>0</v>
      </c>
      <c r="T150" s="505">
        <v>0.03</v>
      </c>
      <c r="U150" s="506">
        <f t="shared" si="37"/>
        <v>0</v>
      </c>
      <c r="V150" s="505">
        <v>0.4</v>
      </c>
      <c r="W150" s="506">
        <f t="shared" si="38"/>
        <v>0</v>
      </c>
      <c r="X150" s="505">
        <v>0.05</v>
      </c>
      <c r="Y150" s="506">
        <f t="shared" si="39"/>
        <v>0</v>
      </c>
      <c r="Z150" s="505">
        <v>17</v>
      </c>
      <c r="AA150" s="506">
        <f t="shared" si="40"/>
        <v>0</v>
      </c>
      <c r="AB150" s="505">
        <v>0</v>
      </c>
      <c r="AC150" s="506">
        <f t="shared" si="41"/>
        <v>0</v>
      </c>
      <c r="AD150" s="507" t="s">
        <v>112</v>
      </c>
    </row>
    <row r="151" spans="1:30" ht="13.5" thickBot="1" x14ac:dyDescent="0.25">
      <c r="A151" s="502" t="s">
        <v>554</v>
      </c>
      <c r="B151" s="508"/>
      <c r="C151" s="504">
        <v>100</v>
      </c>
      <c r="D151" s="505">
        <v>0</v>
      </c>
      <c r="E151" s="506">
        <f t="shared" si="29"/>
        <v>0</v>
      </c>
      <c r="F151" s="505">
        <v>5.7</v>
      </c>
      <c r="G151" s="506">
        <f t="shared" si="30"/>
        <v>0</v>
      </c>
      <c r="H151" s="505">
        <v>0</v>
      </c>
      <c r="I151" s="506">
        <f t="shared" si="31"/>
        <v>0</v>
      </c>
      <c r="J151" s="505">
        <v>0.9</v>
      </c>
      <c r="K151" s="506">
        <f t="shared" si="32"/>
        <v>0</v>
      </c>
      <c r="L151" s="505">
        <v>63</v>
      </c>
      <c r="M151" s="506">
        <f t="shared" si="33"/>
        <v>0</v>
      </c>
      <c r="N151" s="505">
        <v>210</v>
      </c>
      <c r="O151" s="506">
        <f t="shared" si="34"/>
        <v>0</v>
      </c>
      <c r="P151" s="505">
        <v>24</v>
      </c>
      <c r="Q151" s="506">
        <f t="shared" si="35"/>
        <v>0</v>
      </c>
      <c r="R151" s="505">
        <v>0.03</v>
      </c>
      <c r="S151" s="506">
        <f t="shared" si="36"/>
        <v>0</v>
      </c>
      <c r="T151" s="505">
        <v>0.04</v>
      </c>
      <c r="U151" s="506">
        <f t="shared" si="37"/>
        <v>0</v>
      </c>
      <c r="V151" s="505">
        <v>0.4</v>
      </c>
      <c r="W151" s="506">
        <f t="shared" si="38"/>
        <v>0</v>
      </c>
      <c r="X151" s="505">
        <v>0.06</v>
      </c>
      <c r="Y151" s="506">
        <f t="shared" si="39"/>
        <v>0</v>
      </c>
      <c r="Z151" s="505">
        <v>20</v>
      </c>
      <c r="AA151" s="506">
        <f t="shared" si="40"/>
        <v>0</v>
      </c>
      <c r="AB151" s="505">
        <v>0</v>
      </c>
      <c r="AC151" s="506">
        <f t="shared" si="41"/>
        <v>0</v>
      </c>
      <c r="AD151" s="507" t="s">
        <v>112</v>
      </c>
    </row>
    <row r="152" spans="1:30" ht="13.5" thickBot="1" x14ac:dyDescent="0.25">
      <c r="A152" s="502" t="s">
        <v>555</v>
      </c>
      <c r="B152" s="508"/>
      <c r="C152" s="504">
        <v>91</v>
      </c>
      <c r="D152" s="505">
        <v>0</v>
      </c>
      <c r="E152" s="506">
        <f t="shared" si="29"/>
        <v>0</v>
      </c>
      <c r="F152" s="505">
        <v>9.5</v>
      </c>
      <c r="G152" s="506">
        <f t="shared" si="30"/>
        <v>0</v>
      </c>
      <c r="H152" s="505">
        <v>0.02</v>
      </c>
      <c r="I152" s="506">
        <f t="shared" si="31"/>
        <v>0</v>
      </c>
      <c r="J152" s="505">
        <v>0.3</v>
      </c>
      <c r="K152" s="506">
        <f t="shared" si="32"/>
        <v>0</v>
      </c>
      <c r="L152" s="505">
        <v>6</v>
      </c>
      <c r="M152" s="506">
        <f t="shared" si="33"/>
        <v>0</v>
      </c>
      <c r="N152" s="505">
        <v>130</v>
      </c>
      <c r="O152" s="506">
        <f t="shared" si="34"/>
        <v>0</v>
      </c>
      <c r="P152" s="505">
        <v>11</v>
      </c>
      <c r="Q152" s="506">
        <f t="shared" si="35"/>
        <v>0</v>
      </c>
      <c r="R152" s="505">
        <v>0.01</v>
      </c>
      <c r="S152" s="506">
        <f t="shared" si="36"/>
        <v>0</v>
      </c>
      <c r="T152" s="505">
        <v>0.03</v>
      </c>
      <c r="U152" s="506">
        <f t="shared" si="37"/>
        <v>0</v>
      </c>
      <c r="V152" s="505">
        <v>0.1</v>
      </c>
      <c r="W152" s="506">
        <f t="shared" si="38"/>
        <v>0</v>
      </c>
      <c r="X152" s="505">
        <v>0.02</v>
      </c>
      <c r="Y152" s="506">
        <f t="shared" si="39"/>
        <v>0</v>
      </c>
      <c r="Z152" s="505">
        <v>4</v>
      </c>
      <c r="AA152" s="506">
        <f t="shared" si="40"/>
        <v>0</v>
      </c>
      <c r="AB152" s="505">
        <v>0</v>
      </c>
      <c r="AC152" s="506">
        <f t="shared" si="41"/>
        <v>0</v>
      </c>
      <c r="AD152" s="507" t="s">
        <v>112</v>
      </c>
    </row>
    <row r="153" spans="1:30" ht="13.5" thickBot="1" x14ac:dyDescent="0.25">
      <c r="A153" s="502" t="s">
        <v>556</v>
      </c>
      <c r="B153" s="508"/>
      <c r="C153" s="504">
        <v>91</v>
      </c>
      <c r="D153" s="505">
        <v>0</v>
      </c>
      <c r="E153" s="506">
        <f t="shared" si="29"/>
        <v>0</v>
      </c>
      <c r="F153" s="505">
        <v>6.1</v>
      </c>
      <c r="G153" s="506">
        <f t="shared" si="30"/>
        <v>0</v>
      </c>
      <c r="H153" s="505">
        <v>0.01</v>
      </c>
      <c r="I153" s="506">
        <f t="shared" si="31"/>
        <v>0</v>
      </c>
      <c r="J153" s="505">
        <v>0.4</v>
      </c>
      <c r="K153" s="506">
        <f t="shared" si="32"/>
        <v>0</v>
      </c>
      <c r="L153" s="505">
        <v>4</v>
      </c>
      <c r="M153" s="506">
        <f t="shared" si="33"/>
        <v>0</v>
      </c>
      <c r="N153" s="505">
        <v>260</v>
      </c>
      <c r="O153" s="506">
        <f t="shared" si="34"/>
        <v>0</v>
      </c>
      <c r="P153" s="505">
        <v>20</v>
      </c>
      <c r="Q153" s="506">
        <f t="shared" si="35"/>
        <v>0</v>
      </c>
      <c r="R153" s="505">
        <v>0.01</v>
      </c>
      <c r="S153" s="506">
        <f t="shared" si="36"/>
        <v>0</v>
      </c>
      <c r="T153" s="505">
        <v>0.03</v>
      </c>
      <c r="U153" s="506">
        <f t="shared" si="37"/>
        <v>0</v>
      </c>
      <c r="V153" s="505">
        <v>0.5</v>
      </c>
      <c r="W153" s="506">
        <f t="shared" si="38"/>
        <v>0</v>
      </c>
      <c r="X153" s="505">
        <v>0.02</v>
      </c>
      <c r="Y153" s="506">
        <f t="shared" si="39"/>
        <v>0</v>
      </c>
      <c r="Z153" s="505">
        <v>4</v>
      </c>
      <c r="AA153" s="506">
        <f t="shared" si="40"/>
        <v>0</v>
      </c>
      <c r="AB153" s="505">
        <v>0</v>
      </c>
      <c r="AC153" s="506">
        <f t="shared" si="41"/>
        <v>0</v>
      </c>
      <c r="AD153" s="507" t="s">
        <v>112</v>
      </c>
    </row>
    <row r="154" spans="1:30" ht="13.5" thickBot="1" x14ac:dyDescent="0.25">
      <c r="A154" s="502" t="s">
        <v>557</v>
      </c>
      <c r="B154" s="508"/>
      <c r="C154" s="504">
        <v>89</v>
      </c>
      <c r="D154" s="505">
        <v>0</v>
      </c>
      <c r="E154" s="506">
        <f t="shared" si="29"/>
        <v>0</v>
      </c>
      <c r="F154" s="505">
        <v>10.5</v>
      </c>
      <c r="G154" s="506">
        <f t="shared" si="30"/>
        <v>0</v>
      </c>
      <c r="H154" s="505">
        <v>0.01</v>
      </c>
      <c r="I154" s="506">
        <f t="shared" si="31"/>
        <v>0</v>
      </c>
      <c r="J154" s="505">
        <v>0.2</v>
      </c>
      <c r="K154" s="506">
        <f t="shared" si="32"/>
        <v>0</v>
      </c>
      <c r="L154" s="505">
        <v>13</v>
      </c>
      <c r="M154" s="506">
        <f t="shared" si="33"/>
        <v>0</v>
      </c>
      <c r="N154" s="505">
        <v>190</v>
      </c>
      <c r="O154" s="506">
        <f t="shared" si="34"/>
        <v>0</v>
      </c>
      <c r="P154" s="505">
        <v>14</v>
      </c>
      <c r="Q154" s="506">
        <f t="shared" si="35"/>
        <v>0</v>
      </c>
      <c r="R154" s="505">
        <v>0.08</v>
      </c>
      <c r="S154" s="506">
        <f t="shared" si="36"/>
        <v>0</v>
      </c>
      <c r="T154" s="505">
        <v>0.05</v>
      </c>
      <c r="U154" s="506">
        <f t="shared" si="37"/>
        <v>0</v>
      </c>
      <c r="V154" s="505">
        <v>0.5</v>
      </c>
      <c r="W154" s="506">
        <f t="shared" si="38"/>
        <v>0</v>
      </c>
      <c r="X154" s="505">
        <v>0.04</v>
      </c>
      <c r="Y154" s="506">
        <f t="shared" si="39"/>
        <v>0</v>
      </c>
      <c r="Z154" s="505">
        <v>5</v>
      </c>
      <c r="AA154" s="506">
        <f t="shared" si="40"/>
        <v>0</v>
      </c>
      <c r="AB154" s="505">
        <v>0</v>
      </c>
      <c r="AC154" s="506">
        <f t="shared" si="41"/>
        <v>0</v>
      </c>
      <c r="AD154" s="507" t="s">
        <v>112</v>
      </c>
    </row>
    <row r="155" spans="1:30" ht="13.5" thickBot="1" x14ac:dyDescent="0.25">
      <c r="A155" s="502" t="s">
        <v>558</v>
      </c>
      <c r="B155" s="508"/>
      <c r="C155" s="504">
        <v>88</v>
      </c>
      <c r="D155" s="505">
        <v>0</v>
      </c>
      <c r="E155" s="506">
        <f t="shared" si="29"/>
        <v>0</v>
      </c>
      <c r="F155" s="505">
        <v>55</v>
      </c>
      <c r="G155" s="506">
        <f t="shared" si="30"/>
        <v>0</v>
      </c>
      <c r="H155" s="505">
        <v>0.04</v>
      </c>
      <c r="I155" s="506">
        <f t="shared" si="31"/>
        <v>0</v>
      </c>
      <c r="J155" s="505">
        <v>3.9</v>
      </c>
      <c r="K155" s="506">
        <f t="shared" si="32"/>
        <v>0</v>
      </c>
      <c r="L155" s="505">
        <v>59</v>
      </c>
      <c r="M155" s="506">
        <f t="shared" si="33"/>
        <v>0</v>
      </c>
      <c r="N155" s="505">
        <v>824</v>
      </c>
      <c r="O155" s="506">
        <f t="shared" si="34"/>
        <v>0</v>
      </c>
      <c r="P155" s="505">
        <v>85</v>
      </c>
      <c r="Q155" s="506">
        <f t="shared" si="35"/>
        <v>0</v>
      </c>
      <c r="R155" s="505">
        <v>0.18</v>
      </c>
      <c r="S155" s="506">
        <f t="shared" si="36"/>
        <v>0</v>
      </c>
      <c r="T155" s="505">
        <v>0.02</v>
      </c>
      <c r="U155" s="506">
        <f t="shared" si="37"/>
        <v>0</v>
      </c>
      <c r="V155" s="505">
        <v>1</v>
      </c>
      <c r="W155" s="506">
        <f t="shared" si="38"/>
        <v>0</v>
      </c>
      <c r="X155" s="505">
        <v>0.21</v>
      </c>
      <c r="Y155" s="506">
        <f t="shared" si="39"/>
        <v>0</v>
      </c>
      <c r="Z155" s="505">
        <v>3</v>
      </c>
      <c r="AA155" s="506">
        <f t="shared" si="40"/>
        <v>0</v>
      </c>
      <c r="AB155" s="505">
        <v>0</v>
      </c>
      <c r="AC155" s="506">
        <f t="shared" si="41"/>
        <v>0</v>
      </c>
      <c r="AD155" s="507" t="s">
        <v>112</v>
      </c>
    </row>
    <row r="156" spans="1:30" ht="13.5" thickBot="1" x14ac:dyDescent="0.25">
      <c r="A156" s="502" t="s">
        <v>559</v>
      </c>
      <c r="B156" s="508"/>
      <c r="C156" s="504">
        <v>100</v>
      </c>
      <c r="D156" s="505">
        <v>0</v>
      </c>
      <c r="E156" s="506">
        <f t="shared" si="29"/>
        <v>0</v>
      </c>
      <c r="F156" s="505">
        <v>8.1999999999999993</v>
      </c>
      <c r="G156" s="506">
        <f t="shared" si="30"/>
        <v>0</v>
      </c>
      <c r="H156" s="505">
        <v>0</v>
      </c>
      <c r="I156" s="506">
        <f t="shared" si="31"/>
        <v>0</v>
      </c>
      <c r="J156" s="505">
        <v>0.2</v>
      </c>
      <c r="K156" s="506">
        <f t="shared" si="32"/>
        <v>0</v>
      </c>
      <c r="L156" s="505">
        <v>15</v>
      </c>
      <c r="M156" s="506">
        <f t="shared" si="33"/>
        <v>0</v>
      </c>
      <c r="N156" s="505">
        <v>180</v>
      </c>
      <c r="O156" s="506">
        <f t="shared" si="34"/>
        <v>0</v>
      </c>
      <c r="P156" s="505">
        <v>17</v>
      </c>
      <c r="Q156" s="506">
        <f t="shared" si="35"/>
        <v>0</v>
      </c>
      <c r="R156" s="505">
        <v>0.05</v>
      </c>
      <c r="S156" s="506">
        <f t="shared" si="36"/>
        <v>0</v>
      </c>
      <c r="T156" s="505">
        <v>0.03</v>
      </c>
      <c r="U156" s="506">
        <f t="shared" si="37"/>
        <v>0</v>
      </c>
      <c r="V156" s="505">
        <v>0.4</v>
      </c>
      <c r="W156" s="506">
        <f t="shared" si="38"/>
        <v>0</v>
      </c>
      <c r="X156" s="505">
        <v>0.06</v>
      </c>
      <c r="Y156" s="506">
        <f t="shared" si="39"/>
        <v>0</v>
      </c>
      <c r="Z156" s="505">
        <v>44</v>
      </c>
      <c r="AA156" s="506">
        <f t="shared" si="40"/>
        <v>0</v>
      </c>
      <c r="AB156" s="505">
        <v>0</v>
      </c>
      <c r="AC156" s="506">
        <f t="shared" si="41"/>
        <v>0</v>
      </c>
      <c r="AD156" s="507" t="s">
        <v>112</v>
      </c>
    </row>
    <row r="157" spans="1:30" ht="13.5" thickBot="1" x14ac:dyDescent="0.25">
      <c r="A157" s="502" t="s">
        <v>560</v>
      </c>
      <c r="B157" s="508"/>
      <c r="C157" s="504">
        <v>100</v>
      </c>
      <c r="D157" s="505">
        <v>0</v>
      </c>
      <c r="E157" s="506">
        <f t="shared" si="29"/>
        <v>0</v>
      </c>
      <c r="F157" s="505">
        <v>8.8000000000000007</v>
      </c>
      <c r="G157" s="506">
        <f t="shared" si="30"/>
        <v>0</v>
      </c>
      <c r="H157" s="505">
        <v>0.01</v>
      </c>
      <c r="I157" s="506">
        <f t="shared" si="31"/>
        <v>0</v>
      </c>
      <c r="J157" s="505">
        <v>0.2</v>
      </c>
      <c r="K157" s="506">
        <f t="shared" si="32"/>
        <v>0</v>
      </c>
      <c r="L157" s="505">
        <v>10</v>
      </c>
      <c r="M157" s="506">
        <f t="shared" si="33"/>
        <v>0</v>
      </c>
      <c r="N157" s="505">
        <v>150</v>
      </c>
      <c r="O157" s="506">
        <f t="shared" si="34"/>
        <v>450</v>
      </c>
      <c r="P157" s="505">
        <v>13</v>
      </c>
      <c r="Q157" s="506">
        <f t="shared" si="35"/>
        <v>0</v>
      </c>
      <c r="R157" s="505">
        <v>0.08</v>
      </c>
      <c r="S157" s="506">
        <f t="shared" si="36"/>
        <v>0</v>
      </c>
      <c r="T157" s="505">
        <v>0.02</v>
      </c>
      <c r="U157" s="506">
        <f t="shared" si="37"/>
        <v>0</v>
      </c>
      <c r="V157" s="505">
        <v>0.2</v>
      </c>
      <c r="W157" s="506">
        <f t="shared" si="38"/>
        <v>0</v>
      </c>
      <c r="X157" s="505">
        <v>7.0000000000000007E-2</v>
      </c>
      <c r="Y157" s="506">
        <f t="shared" si="39"/>
        <v>0</v>
      </c>
      <c r="Z157" s="505">
        <v>39</v>
      </c>
      <c r="AA157" s="506">
        <f t="shared" si="40"/>
        <v>0</v>
      </c>
      <c r="AB157" s="505">
        <v>0</v>
      </c>
      <c r="AC157" s="506">
        <f t="shared" si="41"/>
        <v>0</v>
      </c>
      <c r="AD157" s="507" t="s">
        <v>112</v>
      </c>
    </row>
    <row r="158" spans="1:30" ht="13.5" thickBot="1" x14ac:dyDescent="0.25">
      <c r="A158" s="502" t="s">
        <v>685</v>
      </c>
      <c r="B158" s="508">
        <v>250</v>
      </c>
      <c r="C158" s="504">
        <v>100</v>
      </c>
      <c r="D158" s="505">
        <v>0</v>
      </c>
      <c r="E158" s="506">
        <f t="shared" si="29"/>
        <v>0</v>
      </c>
      <c r="F158" s="505">
        <v>39</v>
      </c>
      <c r="G158" s="506">
        <f t="shared" si="30"/>
        <v>97.5</v>
      </c>
      <c r="H158" s="505">
        <v>0.02</v>
      </c>
      <c r="I158" s="506">
        <f t="shared" si="31"/>
        <v>0.05</v>
      </c>
      <c r="J158" s="505">
        <v>0.3</v>
      </c>
      <c r="K158" s="506">
        <f t="shared" si="32"/>
        <v>0.75</v>
      </c>
      <c r="L158" s="505">
        <v>8</v>
      </c>
      <c r="M158" s="506">
        <f t="shared" si="33"/>
        <v>20</v>
      </c>
      <c r="N158" s="505">
        <v>70</v>
      </c>
      <c r="O158" s="506">
        <f t="shared" si="34"/>
        <v>0</v>
      </c>
      <c r="P158" s="505">
        <v>11</v>
      </c>
      <c r="Q158" s="506">
        <f t="shared" si="35"/>
        <v>27.5</v>
      </c>
      <c r="R158" s="505">
        <v>0.01</v>
      </c>
      <c r="S158" s="506">
        <f t="shared" si="36"/>
        <v>2.5000000000000001E-2</v>
      </c>
      <c r="T158" s="505">
        <v>0.03</v>
      </c>
      <c r="U158" s="506">
        <f t="shared" si="37"/>
        <v>7.4999999999999997E-2</v>
      </c>
      <c r="V158" s="505">
        <v>0.3</v>
      </c>
      <c r="W158" s="506">
        <f t="shared" si="38"/>
        <v>0.75</v>
      </c>
      <c r="X158" s="505">
        <v>0.04</v>
      </c>
      <c r="Y158" s="506">
        <f t="shared" si="39"/>
        <v>0.1</v>
      </c>
      <c r="Z158" s="505">
        <v>60</v>
      </c>
      <c r="AA158" s="506">
        <f t="shared" si="40"/>
        <v>150</v>
      </c>
      <c r="AB158" s="505">
        <v>0</v>
      </c>
      <c r="AC158" s="506">
        <f t="shared" si="41"/>
        <v>0</v>
      </c>
      <c r="AD158" s="507" t="s">
        <v>112</v>
      </c>
    </row>
    <row r="159" spans="1:30" ht="13.5" thickBot="1" x14ac:dyDescent="0.25">
      <c r="A159" s="502" t="s">
        <v>561</v>
      </c>
      <c r="B159" s="508"/>
      <c r="C159" s="504">
        <v>100</v>
      </c>
      <c r="D159" s="505">
        <v>0</v>
      </c>
      <c r="E159" s="506">
        <f t="shared" si="29"/>
        <v>0</v>
      </c>
      <c r="F159" s="505">
        <v>11.7</v>
      </c>
      <c r="G159" s="506">
        <f t="shared" si="30"/>
        <v>0</v>
      </c>
      <c r="H159" s="505">
        <v>0.03</v>
      </c>
      <c r="I159" s="506">
        <f t="shared" si="31"/>
        <v>0</v>
      </c>
      <c r="J159" s="505">
        <v>0.9</v>
      </c>
      <c r="K159" s="506">
        <f t="shared" si="32"/>
        <v>0</v>
      </c>
      <c r="L159" s="505">
        <v>19</v>
      </c>
      <c r="M159" s="506">
        <f t="shared" si="33"/>
        <v>0</v>
      </c>
      <c r="N159" s="505">
        <v>178</v>
      </c>
      <c r="O159" s="506">
        <f t="shared" si="34"/>
        <v>315</v>
      </c>
      <c r="P159" s="505">
        <v>14</v>
      </c>
      <c r="Q159" s="506">
        <f t="shared" si="35"/>
        <v>0</v>
      </c>
      <c r="R159" s="505">
        <v>2</v>
      </c>
      <c r="S159" s="506">
        <f t="shared" si="36"/>
        <v>0</v>
      </c>
      <c r="T159" s="505">
        <v>0.01</v>
      </c>
      <c r="U159" s="506">
        <f t="shared" si="37"/>
        <v>0</v>
      </c>
      <c r="V159" s="505">
        <v>0.1</v>
      </c>
      <c r="W159" s="506">
        <f t="shared" si="38"/>
        <v>0</v>
      </c>
      <c r="X159" s="505">
        <v>0.04</v>
      </c>
      <c r="Y159" s="506">
        <f t="shared" si="39"/>
        <v>0</v>
      </c>
      <c r="Z159" s="505">
        <v>2</v>
      </c>
      <c r="AA159" s="506">
        <f t="shared" si="40"/>
        <v>0</v>
      </c>
      <c r="AB159" s="505">
        <v>0</v>
      </c>
      <c r="AC159" s="506">
        <f t="shared" si="41"/>
        <v>0</v>
      </c>
      <c r="AD159" s="507" t="s">
        <v>112</v>
      </c>
    </row>
    <row r="160" spans="1:30" ht="13.5" thickBot="1" x14ac:dyDescent="0.25">
      <c r="A160" s="502" t="s">
        <v>562</v>
      </c>
      <c r="B160" s="508">
        <v>450</v>
      </c>
      <c r="C160" s="504">
        <v>94</v>
      </c>
      <c r="D160" s="505">
        <v>0</v>
      </c>
      <c r="E160" s="506">
        <f t="shared" si="29"/>
        <v>0</v>
      </c>
      <c r="F160" s="505">
        <v>15.6</v>
      </c>
      <c r="G160" s="506">
        <f t="shared" si="30"/>
        <v>70.2</v>
      </c>
      <c r="H160" s="505">
        <v>0.03</v>
      </c>
      <c r="I160" s="506">
        <f t="shared" si="31"/>
        <v>0.13500000000000001</v>
      </c>
      <c r="J160" s="505">
        <v>0.4</v>
      </c>
      <c r="K160" s="506">
        <f t="shared" si="32"/>
        <v>1.8</v>
      </c>
      <c r="L160" s="505">
        <v>27</v>
      </c>
      <c r="M160" s="506">
        <f t="shared" si="33"/>
        <v>121.5</v>
      </c>
      <c r="N160" s="505">
        <v>192</v>
      </c>
      <c r="O160" s="506">
        <f t="shared" si="34"/>
        <v>0</v>
      </c>
      <c r="P160" s="505">
        <v>4</v>
      </c>
      <c r="Q160" s="506">
        <f t="shared" si="35"/>
        <v>18</v>
      </c>
      <c r="R160" s="505">
        <v>0.03</v>
      </c>
      <c r="S160" s="506">
        <f t="shared" si="36"/>
        <v>0.13500000000000001</v>
      </c>
      <c r="T160" s="505">
        <v>0.03</v>
      </c>
      <c r="U160" s="506">
        <f t="shared" si="37"/>
        <v>0.13500000000000001</v>
      </c>
      <c r="V160" s="505">
        <v>0.1</v>
      </c>
      <c r="W160" s="506">
        <f t="shared" si="38"/>
        <v>0.45</v>
      </c>
      <c r="X160" s="505">
        <v>0.1</v>
      </c>
      <c r="Y160" s="506">
        <f t="shared" si="39"/>
        <v>0.45</v>
      </c>
      <c r="Z160" s="505">
        <v>6</v>
      </c>
      <c r="AA160" s="506">
        <f t="shared" si="40"/>
        <v>27</v>
      </c>
      <c r="AB160" s="505">
        <v>0</v>
      </c>
      <c r="AC160" s="506">
        <f t="shared" si="41"/>
        <v>0</v>
      </c>
      <c r="AD160" s="507" t="s">
        <v>112</v>
      </c>
    </row>
    <row r="161" spans="1:30" ht="13.5" thickBot="1" x14ac:dyDescent="0.25">
      <c r="A161" s="502" t="s">
        <v>563</v>
      </c>
      <c r="B161" s="508"/>
      <c r="C161" s="504">
        <v>100</v>
      </c>
      <c r="D161" s="505">
        <v>0</v>
      </c>
      <c r="E161" s="506">
        <f t="shared" si="29"/>
        <v>0</v>
      </c>
      <c r="F161" s="505">
        <v>72</v>
      </c>
      <c r="G161" s="506">
        <f t="shared" si="30"/>
        <v>0</v>
      </c>
      <c r="H161" s="505">
        <v>0.2</v>
      </c>
      <c r="I161" s="506">
        <f t="shared" si="31"/>
        <v>0</v>
      </c>
      <c r="J161" s="505">
        <v>3.3</v>
      </c>
      <c r="K161" s="506">
        <f t="shared" si="32"/>
        <v>0</v>
      </c>
      <c r="L161" s="505">
        <v>78</v>
      </c>
      <c r="M161" s="506">
        <f t="shared" si="33"/>
        <v>0</v>
      </c>
      <c r="N161" s="505">
        <v>864</v>
      </c>
      <c r="O161" s="506">
        <f t="shared" si="34"/>
        <v>0</v>
      </c>
      <c r="P161" s="505">
        <v>29</v>
      </c>
      <c r="Q161" s="506">
        <f t="shared" si="35"/>
        <v>0</v>
      </c>
      <c r="R161" s="505">
        <v>0.12</v>
      </c>
      <c r="S161" s="506">
        <f t="shared" si="36"/>
        <v>0</v>
      </c>
      <c r="T161" s="505">
        <v>0.08</v>
      </c>
      <c r="U161" s="506">
        <f t="shared" si="37"/>
        <v>0</v>
      </c>
      <c r="V161" s="505">
        <v>0.3</v>
      </c>
      <c r="W161" s="506">
        <f t="shared" si="38"/>
        <v>0</v>
      </c>
      <c r="X161" s="505">
        <v>0.25</v>
      </c>
      <c r="Y161" s="506">
        <f t="shared" si="39"/>
        <v>0</v>
      </c>
      <c r="Z161" s="505">
        <v>0</v>
      </c>
      <c r="AA161" s="506">
        <f t="shared" si="40"/>
        <v>0</v>
      </c>
      <c r="AB161" s="505">
        <v>0</v>
      </c>
      <c r="AC161" s="506">
        <f t="shared" si="41"/>
        <v>0</v>
      </c>
      <c r="AD161" s="507" t="s">
        <v>112</v>
      </c>
    </row>
    <row r="162" spans="1:30" ht="13.5" thickBot="1" x14ac:dyDescent="0.25">
      <c r="A162" s="502" t="s">
        <v>564</v>
      </c>
      <c r="B162" s="508"/>
      <c r="C162" s="504">
        <v>100</v>
      </c>
      <c r="D162" s="505">
        <v>0</v>
      </c>
      <c r="E162" s="506">
        <f t="shared" si="29"/>
        <v>0</v>
      </c>
      <c r="F162" s="505">
        <v>1.7</v>
      </c>
      <c r="G162" s="506">
        <f t="shared" si="30"/>
        <v>0</v>
      </c>
      <c r="H162" s="505">
        <v>5.34</v>
      </c>
      <c r="I162" s="506">
        <f t="shared" si="31"/>
        <v>0</v>
      </c>
      <c r="J162" s="505">
        <v>6.4</v>
      </c>
      <c r="K162" s="506">
        <f t="shared" si="32"/>
        <v>0</v>
      </c>
      <c r="L162" s="505">
        <v>110</v>
      </c>
      <c r="M162" s="506">
        <f t="shared" si="33"/>
        <v>0</v>
      </c>
      <c r="N162" s="505">
        <v>710</v>
      </c>
      <c r="O162" s="506">
        <f t="shared" ref="O162:O193" si="42">N161*B163/100</f>
        <v>0</v>
      </c>
      <c r="P162" s="505">
        <v>640</v>
      </c>
      <c r="Q162" s="506">
        <f t="shared" si="35"/>
        <v>0</v>
      </c>
      <c r="R162" s="505">
        <v>1.6</v>
      </c>
      <c r="S162" s="506">
        <f t="shared" si="36"/>
        <v>0</v>
      </c>
      <c r="T162" s="505">
        <v>0.19</v>
      </c>
      <c r="U162" s="506">
        <f t="shared" si="37"/>
        <v>0</v>
      </c>
      <c r="V162" s="505">
        <v>4.0999999999999996</v>
      </c>
      <c r="W162" s="506">
        <f t="shared" si="38"/>
        <v>0</v>
      </c>
      <c r="X162" s="505">
        <v>0.77</v>
      </c>
      <c r="Y162" s="506">
        <f t="shared" si="39"/>
        <v>0</v>
      </c>
      <c r="Z162" s="505">
        <v>0</v>
      </c>
      <c r="AA162" s="506">
        <f t="shared" si="40"/>
        <v>0</v>
      </c>
      <c r="AB162" s="505">
        <v>0</v>
      </c>
      <c r="AC162" s="506">
        <f t="shared" si="41"/>
        <v>0</v>
      </c>
      <c r="AD162" s="507" t="s">
        <v>565</v>
      </c>
    </row>
    <row r="163" spans="1:30" ht="13.5" thickBot="1" x14ac:dyDescent="0.25">
      <c r="A163" s="502" t="s">
        <v>566</v>
      </c>
      <c r="B163" s="508"/>
      <c r="C163" s="504">
        <v>100</v>
      </c>
      <c r="D163" s="505">
        <v>0</v>
      </c>
      <c r="E163" s="506">
        <f t="shared" si="29"/>
        <v>0</v>
      </c>
      <c r="F163" s="505">
        <v>1.7</v>
      </c>
      <c r="G163" s="506">
        <f t="shared" si="30"/>
        <v>0</v>
      </c>
      <c r="H163" s="505">
        <v>0.12</v>
      </c>
      <c r="I163" s="506">
        <f t="shared" si="31"/>
        <v>0</v>
      </c>
      <c r="J163" s="505">
        <v>0.1</v>
      </c>
      <c r="K163" s="506">
        <f t="shared" si="32"/>
        <v>0</v>
      </c>
      <c r="L163" s="505">
        <v>7</v>
      </c>
      <c r="M163" s="506">
        <f t="shared" si="33"/>
        <v>0</v>
      </c>
      <c r="N163" s="505">
        <v>25</v>
      </c>
      <c r="O163" s="506">
        <f t="shared" si="42"/>
        <v>0</v>
      </c>
      <c r="P163" s="505">
        <v>15</v>
      </c>
      <c r="Q163" s="506">
        <f t="shared" si="35"/>
        <v>0</v>
      </c>
      <c r="R163" s="505">
        <v>0.01</v>
      </c>
      <c r="S163" s="506">
        <f t="shared" si="36"/>
        <v>0</v>
      </c>
      <c r="T163" s="505">
        <v>0.01</v>
      </c>
      <c r="U163" s="506">
        <f t="shared" si="37"/>
        <v>0</v>
      </c>
      <c r="V163" s="505">
        <v>0.1</v>
      </c>
      <c r="W163" s="506">
        <f t="shared" si="38"/>
        <v>0</v>
      </c>
      <c r="X163" s="505">
        <v>2</v>
      </c>
      <c r="Y163" s="506">
        <f t="shared" si="39"/>
        <v>0</v>
      </c>
      <c r="Z163" s="505">
        <v>0</v>
      </c>
      <c r="AA163" s="506">
        <f t="shared" si="40"/>
        <v>0</v>
      </c>
      <c r="AB163" s="505">
        <v>0</v>
      </c>
      <c r="AC163" s="506">
        <f t="shared" si="41"/>
        <v>0</v>
      </c>
      <c r="AD163" s="507" t="s">
        <v>565</v>
      </c>
    </row>
    <row r="164" spans="1:30" ht="13.5" thickBot="1" x14ac:dyDescent="0.25">
      <c r="A164" s="502" t="s">
        <v>567</v>
      </c>
      <c r="B164" s="508"/>
      <c r="C164" s="504">
        <v>24</v>
      </c>
      <c r="D164" s="505">
        <v>0</v>
      </c>
      <c r="E164" s="506">
        <f t="shared" si="29"/>
        <v>0</v>
      </c>
      <c r="F164" s="505">
        <v>4</v>
      </c>
      <c r="G164" s="506">
        <f t="shared" si="30"/>
        <v>0</v>
      </c>
      <c r="H164" s="505">
        <v>4.2699999999999996</v>
      </c>
      <c r="I164" s="506">
        <f t="shared" si="31"/>
        <v>0</v>
      </c>
      <c r="J164" s="505">
        <v>4.5999999999999996</v>
      </c>
      <c r="K164" s="506">
        <f t="shared" si="32"/>
        <v>0</v>
      </c>
      <c r="L164" s="505">
        <v>236</v>
      </c>
      <c r="M164" s="506">
        <f t="shared" si="33"/>
        <v>0</v>
      </c>
      <c r="N164" s="505">
        <v>860</v>
      </c>
      <c r="O164" s="506">
        <f t="shared" si="42"/>
        <v>0</v>
      </c>
      <c r="P164" s="505">
        <v>508</v>
      </c>
      <c r="Q164" s="506">
        <f t="shared" si="35"/>
        <v>0</v>
      </c>
      <c r="R164" s="505">
        <v>0.3</v>
      </c>
      <c r="S164" s="506">
        <f t="shared" si="36"/>
        <v>0</v>
      </c>
      <c r="T164" s="505">
        <v>0.44</v>
      </c>
      <c r="U164" s="506">
        <f t="shared" si="37"/>
        <v>0</v>
      </c>
      <c r="V164" s="505">
        <v>2.1</v>
      </c>
      <c r="W164" s="506">
        <f t="shared" si="38"/>
        <v>0</v>
      </c>
      <c r="X164" s="505">
        <v>0.15</v>
      </c>
      <c r="Y164" s="506">
        <f t="shared" si="39"/>
        <v>0</v>
      </c>
      <c r="Z164" s="505">
        <v>2</v>
      </c>
      <c r="AA164" s="506">
        <f t="shared" si="40"/>
        <v>0</v>
      </c>
      <c r="AB164" s="505">
        <v>0</v>
      </c>
      <c r="AC164" s="506">
        <f t="shared" si="41"/>
        <v>0</v>
      </c>
      <c r="AD164" s="507" t="s">
        <v>565</v>
      </c>
    </row>
    <row r="165" spans="1:30" ht="13.5" thickBot="1" x14ac:dyDescent="0.25">
      <c r="A165" s="502" t="s">
        <v>568</v>
      </c>
      <c r="B165" s="508"/>
      <c r="C165" s="504">
        <v>100</v>
      </c>
      <c r="D165" s="505">
        <v>0</v>
      </c>
      <c r="E165" s="506">
        <f t="shared" si="29"/>
        <v>0</v>
      </c>
      <c r="F165" s="505">
        <v>47.4</v>
      </c>
      <c r="G165" s="506">
        <f t="shared" si="30"/>
        <v>0</v>
      </c>
      <c r="H165" s="505">
        <v>1.04</v>
      </c>
      <c r="I165" s="506">
        <f t="shared" si="31"/>
        <v>0</v>
      </c>
      <c r="J165" s="505">
        <v>5.6</v>
      </c>
      <c r="K165" s="506">
        <f t="shared" si="32"/>
        <v>0</v>
      </c>
      <c r="L165" s="505">
        <v>120</v>
      </c>
      <c r="M165" s="506">
        <f t="shared" si="33"/>
        <v>0</v>
      </c>
      <c r="N165" s="505">
        <v>440</v>
      </c>
      <c r="O165" s="506">
        <f t="shared" si="42"/>
        <v>0</v>
      </c>
      <c r="P165" s="505">
        <v>280</v>
      </c>
      <c r="Q165" s="506">
        <f t="shared" si="35"/>
        <v>0</v>
      </c>
      <c r="R165" s="505">
        <v>0.5</v>
      </c>
      <c r="S165" s="506">
        <f t="shared" si="36"/>
        <v>0</v>
      </c>
      <c r="T165" s="505">
        <v>0.7</v>
      </c>
      <c r="U165" s="506">
        <f t="shared" si="37"/>
        <v>0</v>
      </c>
      <c r="V165" s="505">
        <v>6.5</v>
      </c>
      <c r="W165" s="506">
        <f t="shared" si="38"/>
        <v>0</v>
      </c>
      <c r="X165" s="505">
        <v>1.6</v>
      </c>
      <c r="Y165" s="506">
        <f t="shared" si="39"/>
        <v>0</v>
      </c>
      <c r="Z165" s="505">
        <v>2</v>
      </c>
      <c r="AA165" s="506">
        <f t="shared" si="40"/>
        <v>0</v>
      </c>
      <c r="AB165" s="505">
        <v>0</v>
      </c>
      <c r="AC165" s="506">
        <f t="shared" si="41"/>
        <v>0</v>
      </c>
      <c r="AD165" s="507" t="s">
        <v>565</v>
      </c>
    </row>
    <row r="166" spans="1:30" ht="13.5" thickBot="1" x14ac:dyDescent="0.25">
      <c r="A166" s="502" t="s">
        <v>569</v>
      </c>
      <c r="B166" s="508"/>
      <c r="C166" s="504">
        <v>42</v>
      </c>
      <c r="D166" s="505">
        <v>0</v>
      </c>
      <c r="E166" s="506">
        <f t="shared" si="29"/>
        <v>0</v>
      </c>
      <c r="F166" s="505">
        <v>1.8</v>
      </c>
      <c r="G166" s="506">
        <f t="shared" si="30"/>
        <v>0</v>
      </c>
      <c r="H166" s="505">
        <v>4.08</v>
      </c>
      <c r="I166" s="506">
        <f t="shared" si="31"/>
        <v>0</v>
      </c>
      <c r="J166" s="505">
        <v>3.3</v>
      </c>
      <c r="K166" s="506">
        <f t="shared" si="32"/>
        <v>0</v>
      </c>
      <c r="L166" s="505">
        <v>150</v>
      </c>
      <c r="M166" s="506">
        <f t="shared" si="33"/>
        <v>0</v>
      </c>
      <c r="N166" s="505">
        <v>466</v>
      </c>
      <c r="O166" s="506">
        <f t="shared" si="42"/>
        <v>0</v>
      </c>
      <c r="P166" s="505">
        <v>322</v>
      </c>
      <c r="Q166" s="506">
        <f t="shared" si="35"/>
        <v>0</v>
      </c>
      <c r="R166" s="505">
        <v>0.51</v>
      </c>
      <c r="S166" s="506">
        <f t="shared" si="36"/>
        <v>0</v>
      </c>
      <c r="T166" s="505">
        <v>0.1</v>
      </c>
      <c r="U166" s="506">
        <f t="shared" si="37"/>
        <v>0</v>
      </c>
      <c r="V166" s="505">
        <v>2.8</v>
      </c>
      <c r="W166" s="506">
        <f t="shared" si="38"/>
        <v>0</v>
      </c>
      <c r="X166" s="505">
        <v>0.59</v>
      </c>
      <c r="Y166" s="506">
        <f t="shared" si="39"/>
        <v>0</v>
      </c>
      <c r="Z166" s="505">
        <v>4</v>
      </c>
      <c r="AA166" s="506">
        <f t="shared" si="40"/>
        <v>0</v>
      </c>
      <c r="AB166" s="505">
        <v>0</v>
      </c>
      <c r="AC166" s="506">
        <f t="shared" si="41"/>
        <v>0</v>
      </c>
      <c r="AD166" s="507" t="s">
        <v>565</v>
      </c>
    </row>
    <row r="167" spans="1:30" ht="13.5" thickBot="1" x14ac:dyDescent="0.25">
      <c r="A167" s="502" t="s">
        <v>570</v>
      </c>
      <c r="B167" s="508"/>
      <c r="C167" s="504">
        <v>39</v>
      </c>
      <c r="D167" s="505">
        <v>0</v>
      </c>
      <c r="E167" s="506">
        <f t="shared" si="29"/>
        <v>0</v>
      </c>
      <c r="F167" s="505">
        <v>3.9</v>
      </c>
      <c r="G167" s="506">
        <f t="shared" si="30"/>
        <v>0</v>
      </c>
      <c r="H167" s="505">
        <v>5.21</v>
      </c>
      <c r="I167" s="506">
        <f t="shared" si="31"/>
        <v>0</v>
      </c>
      <c r="J167" s="505">
        <v>2.1</v>
      </c>
      <c r="K167" s="506">
        <f t="shared" si="32"/>
        <v>0</v>
      </c>
      <c r="L167" s="505">
        <v>83</v>
      </c>
      <c r="M167" s="506">
        <f t="shared" si="33"/>
        <v>0</v>
      </c>
      <c r="N167" s="505">
        <v>368</v>
      </c>
      <c r="O167" s="506">
        <f t="shared" si="42"/>
        <v>139.80000000000001</v>
      </c>
      <c r="P167" s="505">
        <v>380</v>
      </c>
      <c r="Q167" s="506">
        <f t="shared" si="35"/>
        <v>0</v>
      </c>
      <c r="R167" s="505">
        <v>0.45</v>
      </c>
      <c r="S167" s="506">
        <f t="shared" si="36"/>
        <v>0</v>
      </c>
      <c r="T167" s="505">
        <v>0.1</v>
      </c>
      <c r="U167" s="506">
        <f t="shared" si="37"/>
        <v>0</v>
      </c>
      <c r="V167" s="505">
        <v>0.9</v>
      </c>
      <c r="W167" s="506">
        <f t="shared" si="38"/>
        <v>0</v>
      </c>
      <c r="X167" s="505">
        <v>0.67</v>
      </c>
      <c r="Y167" s="506">
        <f t="shared" si="39"/>
        <v>0</v>
      </c>
      <c r="Z167" s="505">
        <v>2</v>
      </c>
      <c r="AA167" s="506">
        <f t="shared" si="40"/>
        <v>0</v>
      </c>
      <c r="AB167" s="505">
        <v>0</v>
      </c>
      <c r="AC167" s="506">
        <f t="shared" si="41"/>
        <v>0</v>
      </c>
      <c r="AD167" s="507" t="s">
        <v>565</v>
      </c>
    </row>
    <row r="168" spans="1:30" ht="13.5" thickBot="1" x14ac:dyDescent="0.25">
      <c r="A168" s="502" t="s">
        <v>571</v>
      </c>
      <c r="B168" s="508">
        <v>30</v>
      </c>
      <c r="C168" s="504">
        <v>29</v>
      </c>
      <c r="D168" s="505">
        <v>0</v>
      </c>
      <c r="E168" s="506">
        <f t="shared" si="29"/>
        <v>0</v>
      </c>
      <c r="F168" s="505">
        <v>5</v>
      </c>
      <c r="G168" s="506">
        <f t="shared" si="30"/>
        <v>1.5</v>
      </c>
      <c r="H168" s="505">
        <v>7.35</v>
      </c>
      <c r="I168" s="506">
        <f t="shared" si="31"/>
        <v>2.2050000000000001</v>
      </c>
      <c r="J168" s="505">
        <v>2</v>
      </c>
      <c r="K168" s="506">
        <f t="shared" si="32"/>
        <v>0.6</v>
      </c>
      <c r="L168" s="505">
        <v>40</v>
      </c>
      <c r="M168" s="506">
        <f t="shared" si="33"/>
        <v>12</v>
      </c>
      <c r="N168" s="505">
        <v>780</v>
      </c>
      <c r="O168" s="506">
        <f t="shared" si="42"/>
        <v>0</v>
      </c>
      <c r="P168" s="505">
        <v>466</v>
      </c>
      <c r="Q168" s="506">
        <f t="shared" si="35"/>
        <v>139.80000000000001</v>
      </c>
      <c r="R168" s="505">
        <v>0.39</v>
      </c>
      <c r="S168" s="506">
        <f t="shared" si="36"/>
        <v>0.11700000000000001</v>
      </c>
      <c r="T168" s="505">
        <v>0.25</v>
      </c>
      <c r="U168" s="506">
        <f t="shared" si="37"/>
        <v>7.4999999999999997E-2</v>
      </c>
      <c r="V168" s="505">
        <v>2.7</v>
      </c>
      <c r="W168" s="506">
        <f t="shared" si="38"/>
        <v>0.81</v>
      </c>
      <c r="X168" s="505">
        <v>0.11</v>
      </c>
      <c r="Y168" s="506">
        <f t="shared" si="39"/>
        <v>3.3000000000000002E-2</v>
      </c>
      <c r="Z168" s="505">
        <v>0</v>
      </c>
      <c r="AA168" s="506">
        <f t="shared" si="40"/>
        <v>0</v>
      </c>
      <c r="AB168" s="505">
        <v>0</v>
      </c>
      <c r="AC168" s="506">
        <f t="shared" si="41"/>
        <v>0</v>
      </c>
      <c r="AD168" s="507" t="s">
        <v>565</v>
      </c>
    </row>
    <row r="169" spans="1:30" ht="13.5" thickBot="1" x14ac:dyDescent="0.25">
      <c r="A169" s="502" t="s">
        <v>572</v>
      </c>
      <c r="B169" s="508"/>
      <c r="C169" s="504">
        <v>50</v>
      </c>
      <c r="D169" s="505">
        <v>0</v>
      </c>
      <c r="E169" s="506">
        <f t="shared" si="29"/>
        <v>0</v>
      </c>
      <c r="F169" s="505">
        <v>9.6999999999999993</v>
      </c>
      <c r="G169" s="506">
        <f t="shared" si="30"/>
        <v>0</v>
      </c>
      <c r="H169" s="505">
        <v>6.13</v>
      </c>
      <c r="I169" s="506">
        <f t="shared" si="31"/>
        <v>0</v>
      </c>
      <c r="J169" s="505">
        <v>6.8</v>
      </c>
      <c r="K169" s="506">
        <f t="shared" si="32"/>
        <v>0</v>
      </c>
      <c r="L169" s="505">
        <v>135</v>
      </c>
      <c r="M169" s="506">
        <f t="shared" si="33"/>
        <v>0</v>
      </c>
      <c r="N169" s="505">
        <v>1093</v>
      </c>
      <c r="O169" s="506">
        <f t="shared" si="42"/>
        <v>0</v>
      </c>
      <c r="P169" s="505">
        <v>503</v>
      </c>
      <c r="Q169" s="506">
        <f t="shared" si="35"/>
        <v>0</v>
      </c>
      <c r="R169" s="505">
        <v>0.82</v>
      </c>
      <c r="S169" s="506">
        <f t="shared" si="36"/>
        <v>0</v>
      </c>
      <c r="T169" s="505">
        <v>0.17</v>
      </c>
      <c r="U169" s="506">
        <f t="shared" si="37"/>
        <v>0</v>
      </c>
      <c r="V169" s="505">
        <v>1.1000000000000001</v>
      </c>
      <c r="W169" s="506">
        <f t="shared" si="38"/>
        <v>0</v>
      </c>
      <c r="X169" s="505">
        <v>0.25</v>
      </c>
      <c r="Y169" s="506">
        <f t="shared" si="39"/>
        <v>0</v>
      </c>
      <c r="Z169" s="505">
        <v>7</v>
      </c>
      <c r="AA169" s="506">
        <f t="shared" si="40"/>
        <v>0</v>
      </c>
      <c r="AB169" s="505">
        <v>0</v>
      </c>
      <c r="AC169" s="506">
        <f t="shared" si="41"/>
        <v>0</v>
      </c>
      <c r="AD169" s="507" t="s">
        <v>565</v>
      </c>
    </row>
    <row r="170" spans="1:30" ht="13.5" thickBot="1" x14ac:dyDescent="0.25">
      <c r="A170" s="502" t="s">
        <v>573</v>
      </c>
      <c r="B170" s="508"/>
      <c r="C170" s="504">
        <v>100</v>
      </c>
      <c r="D170" s="505">
        <v>0</v>
      </c>
      <c r="E170" s="506">
        <f t="shared" si="29"/>
        <v>0</v>
      </c>
      <c r="F170" s="505">
        <v>20.2</v>
      </c>
      <c r="G170" s="506">
        <f t="shared" si="30"/>
        <v>0</v>
      </c>
      <c r="H170" s="505">
        <v>0</v>
      </c>
      <c r="I170" s="506">
        <f t="shared" si="31"/>
        <v>0</v>
      </c>
      <c r="J170" s="505">
        <v>0.4</v>
      </c>
      <c r="K170" s="506">
        <f t="shared" si="32"/>
        <v>0</v>
      </c>
      <c r="L170" s="505">
        <v>13</v>
      </c>
      <c r="M170" s="506">
        <f t="shared" si="33"/>
        <v>0</v>
      </c>
      <c r="N170" s="505">
        <v>94</v>
      </c>
      <c r="O170" s="506">
        <f t="shared" si="42"/>
        <v>0</v>
      </c>
      <c r="P170" s="505">
        <v>5</v>
      </c>
      <c r="Q170" s="506">
        <f t="shared" si="35"/>
        <v>0</v>
      </c>
      <c r="R170" s="505">
        <v>0.05</v>
      </c>
      <c r="S170" s="506">
        <f t="shared" si="36"/>
        <v>0</v>
      </c>
      <c r="T170" s="505">
        <v>0.02</v>
      </c>
      <c r="U170" s="506">
        <f t="shared" si="37"/>
        <v>0</v>
      </c>
      <c r="V170" s="505">
        <v>0.2</v>
      </c>
      <c r="W170" s="506">
        <f t="shared" si="38"/>
        <v>0</v>
      </c>
      <c r="X170" s="505">
        <v>0.09</v>
      </c>
      <c r="Y170" s="506">
        <f t="shared" si="39"/>
        <v>0</v>
      </c>
      <c r="Z170" s="505">
        <v>12</v>
      </c>
      <c r="AA170" s="506">
        <f t="shared" si="40"/>
        <v>0</v>
      </c>
      <c r="AB170" s="505">
        <v>0</v>
      </c>
      <c r="AC170" s="506">
        <f t="shared" si="41"/>
        <v>0</v>
      </c>
      <c r="AD170" s="509" t="s">
        <v>574</v>
      </c>
    </row>
    <row r="171" spans="1:30" ht="13.5" thickBot="1" x14ac:dyDescent="0.25">
      <c r="A171" s="502" t="s">
        <v>575</v>
      </c>
      <c r="B171" s="508"/>
      <c r="C171" s="504">
        <v>100</v>
      </c>
      <c r="D171" s="505">
        <v>0</v>
      </c>
      <c r="E171" s="506">
        <f t="shared" si="29"/>
        <v>0</v>
      </c>
      <c r="F171" s="505">
        <v>10</v>
      </c>
      <c r="G171" s="506">
        <f t="shared" si="30"/>
        <v>0</v>
      </c>
      <c r="H171" s="505">
        <v>0</v>
      </c>
      <c r="I171" s="506">
        <f t="shared" si="31"/>
        <v>0</v>
      </c>
      <c r="J171" s="505">
        <v>0.3</v>
      </c>
      <c r="K171" s="506">
        <f t="shared" si="32"/>
        <v>0</v>
      </c>
      <c r="L171" s="505">
        <v>11</v>
      </c>
      <c r="M171" s="506">
        <f t="shared" si="33"/>
        <v>0</v>
      </c>
      <c r="N171" s="505">
        <v>18</v>
      </c>
      <c r="O171" s="506">
        <f t="shared" si="42"/>
        <v>0</v>
      </c>
      <c r="P171" s="505">
        <v>5</v>
      </c>
      <c r="Q171" s="506">
        <f t="shared" si="35"/>
        <v>0</v>
      </c>
      <c r="R171" s="505">
        <v>2</v>
      </c>
      <c r="S171" s="506">
        <f t="shared" si="36"/>
        <v>0</v>
      </c>
      <c r="T171" s="505">
        <v>2</v>
      </c>
      <c r="U171" s="506">
        <f t="shared" si="37"/>
        <v>0</v>
      </c>
      <c r="V171" s="505">
        <v>2</v>
      </c>
      <c r="W171" s="506">
        <f t="shared" si="38"/>
        <v>0</v>
      </c>
      <c r="X171" s="505">
        <v>2</v>
      </c>
      <c r="Y171" s="506">
        <f t="shared" si="39"/>
        <v>0</v>
      </c>
      <c r="Z171" s="505">
        <v>1</v>
      </c>
      <c r="AA171" s="506">
        <f t="shared" si="40"/>
        <v>0</v>
      </c>
      <c r="AB171" s="505">
        <v>0</v>
      </c>
      <c r="AC171" s="506">
        <f t="shared" si="41"/>
        <v>0</v>
      </c>
      <c r="AD171" s="509" t="s">
        <v>574</v>
      </c>
    </row>
    <row r="172" spans="1:30" ht="13.5" thickBot="1" x14ac:dyDescent="0.25">
      <c r="A172" s="502" t="s">
        <v>576</v>
      </c>
      <c r="B172" s="508"/>
      <c r="C172" s="504">
        <v>100</v>
      </c>
      <c r="D172" s="505">
        <v>3</v>
      </c>
      <c r="E172" s="506">
        <f t="shared" si="29"/>
        <v>0</v>
      </c>
      <c r="F172" s="505">
        <v>30</v>
      </c>
      <c r="G172" s="506">
        <f t="shared" si="30"/>
        <v>0</v>
      </c>
      <c r="H172" s="505">
        <v>7.37</v>
      </c>
      <c r="I172" s="506">
        <f t="shared" si="31"/>
        <v>0</v>
      </c>
      <c r="J172" s="505">
        <v>0.7</v>
      </c>
      <c r="K172" s="506">
        <f t="shared" si="32"/>
        <v>0</v>
      </c>
      <c r="L172" s="505">
        <v>31</v>
      </c>
      <c r="M172" s="506">
        <f t="shared" si="33"/>
        <v>0</v>
      </c>
      <c r="N172" s="505">
        <v>360</v>
      </c>
      <c r="O172" s="506">
        <f t="shared" si="42"/>
        <v>0</v>
      </c>
      <c r="P172" s="505">
        <v>66</v>
      </c>
      <c r="Q172" s="506">
        <f t="shared" si="35"/>
        <v>0</v>
      </c>
      <c r="R172" s="505">
        <v>0.02</v>
      </c>
      <c r="S172" s="506">
        <f t="shared" si="36"/>
        <v>0</v>
      </c>
      <c r="T172" s="505">
        <v>7.0000000000000007E-2</v>
      </c>
      <c r="U172" s="506">
        <f t="shared" si="37"/>
        <v>0</v>
      </c>
      <c r="V172" s="505">
        <v>0.3</v>
      </c>
      <c r="W172" s="506">
        <f t="shared" si="38"/>
        <v>0</v>
      </c>
      <c r="X172" s="505">
        <v>0.03</v>
      </c>
      <c r="Y172" s="506">
        <f t="shared" si="39"/>
        <v>0</v>
      </c>
      <c r="Z172" s="505">
        <v>2</v>
      </c>
      <c r="AA172" s="506">
        <f t="shared" si="40"/>
        <v>0</v>
      </c>
      <c r="AB172" s="505">
        <v>0</v>
      </c>
      <c r="AC172" s="506">
        <f t="shared" si="41"/>
        <v>0</v>
      </c>
      <c r="AD172" s="507" t="s">
        <v>574</v>
      </c>
    </row>
    <row r="173" spans="1:30" ht="13.5" thickBot="1" x14ac:dyDescent="0.25">
      <c r="A173" s="502" t="s">
        <v>577</v>
      </c>
      <c r="B173" s="508"/>
      <c r="C173" s="504">
        <v>100</v>
      </c>
      <c r="D173" s="505">
        <v>5</v>
      </c>
      <c r="E173" s="506">
        <f t="shared" si="29"/>
        <v>0</v>
      </c>
      <c r="F173" s="505">
        <v>35.700000000000003</v>
      </c>
      <c r="G173" s="506">
        <f t="shared" si="30"/>
        <v>0</v>
      </c>
      <c r="H173" s="505">
        <v>1.7</v>
      </c>
      <c r="I173" s="506">
        <f t="shared" si="31"/>
        <v>0</v>
      </c>
      <c r="J173" s="505">
        <v>1.9</v>
      </c>
      <c r="K173" s="506">
        <f t="shared" si="32"/>
        <v>0</v>
      </c>
      <c r="L173" s="505">
        <v>104</v>
      </c>
      <c r="M173" s="506">
        <f t="shared" si="33"/>
        <v>0</v>
      </c>
      <c r="N173" s="505">
        <v>366</v>
      </c>
      <c r="O173" s="506">
        <f t="shared" si="42"/>
        <v>8820</v>
      </c>
      <c r="P173" s="505">
        <v>225</v>
      </c>
      <c r="Q173" s="506">
        <f t="shared" si="35"/>
        <v>0</v>
      </c>
      <c r="R173" s="505">
        <v>0.28999999999999998</v>
      </c>
      <c r="S173" s="506">
        <f t="shared" si="36"/>
        <v>0</v>
      </c>
      <c r="T173" s="505">
        <v>0.26</v>
      </c>
      <c r="U173" s="506">
        <f t="shared" si="37"/>
        <v>0</v>
      </c>
      <c r="V173" s="505">
        <v>2.4</v>
      </c>
      <c r="W173" s="506">
        <f t="shared" si="38"/>
        <v>0</v>
      </c>
      <c r="X173" s="505">
        <v>0.03</v>
      </c>
      <c r="Y173" s="506">
        <f t="shared" si="39"/>
        <v>0</v>
      </c>
      <c r="Z173" s="505">
        <v>2</v>
      </c>
      <c r="AA173" s="506">
        <f t="shared" si="40"/>
        <v>0</v>
      </c>
      <c r="AB173" s="505">
        <v>0</v>
      </c>
      <c r="AC173" s="506">
        <f t="shared" si="41"/>
        <v>0</v>
      </c>
      <c r="AD173" s="507" t="s">
        <v>574</v>
      </c>
    </row>
    <row r="174" spans="1:30" ht="13.5" thickBot="1" x14ac:dyDescent="0.25">
      <c r="A174" s="502" t="s">
        <v>578</v>
      </c>
      <c r="B174" s="508">
        <v>2450</v>
      </c>
      <c r="C174" s="504">
        <v>100</v>
      </c>
      <c r="D174" s="505">
        <v>4</v>
      </c>
      <c r="E174" s="506">
        <f t="shared" si="29"/>
        <v>98</v>
      </c>
      <c r="F174" s="505">
        <v>20</v>
      </c>
      <c r="G174" s="506">
        <f t="shared" si="30"/>
        <v>490</v>
      </c>
      <c r="H174" s="505">
        <v>10.45</v>
      </c>
      <c r="I174" s="506">
        <f t="shared" si="31"/>
        <v>256.02499999999998</v>
      </c>
      <c r="J174" s="505">
        <v>1.8</v>
      </c>
      <c r="K174" s="506">
        <f t="shared" si="32"/>
        <v>44.1</v>
      </c>
      <c r="L174" s="505">
        <v>87</v>
      </c>
      <c r="M174" s="506">
        <f t="shared" si="33"/>
        <v>2131.5</v>
      </c>
      <c r="N174" s="505">
        <v>110</v>
      </c>
      <c r="O174" s="506">
        <f t="shared" si="42"/>
        <v>0</v>
      </c>
      <c r="P174" s="505">
        <v>85</v>
      </c>
      <c r="Q174" s="506">
        <f t="shared" si="35"/>
        <v>2082.5</v>
      </c>
      <c r="R174" s="505">
        <v>0.16</v>
      </c>
      <c r="S174" s="506">
        <f t="shared" si="36"/>
        <v>3.92</v>
      </c>
      <c r="T174" s="505">
        <v>0.04</v>
      </c>
      <c r="U174" s="506">
        <f t="shared" si="37"/>
        <v>0.98</v>
      </c>
      <c r="V174" s="505">
        <v>0.9</v>
      </c>
      <c r="W174" s="506">
        <f t="shared" si="38"/>
        <v>22.05</v>
      </c>
      <c r="X174" s="505">
        <v>0.05</v>
      </c>
      <c r="Y174" s="506">
        <f t="shared" si="39"/>
        <v>1.2250000000000001</v>
      </c>
      <c r="Z174" s="505">
        <v>0</v>
      </c>
      <c r="AA174" s="506">
        <f t="shared" si="40"/>
        <v>0</v>
      </c>
      <c r="AB174" s="505">
        <v>0</v>
      </c>
      <c r="AC174" s="506">
        <f t="shared" si="41"/>
        <v>0</v>
      </c>
      <c r="AD174" s="507" t="s">
        <v>574</v>
      </c>
    </row>
    <row r="175" spans="1:30" ht="13.5" thickBot="1" x14ac:dyDescent="0.25">
      <c r="A175" s="502" t="s">
        <v>579</v>
      </c>
      <c r="B175" s="508"/>
      <c r="C175" s="504">
        <v>100</v>
      </c>
      <c r="D175" s="505">
        <v>3</v>
      </c>
      <c r="E175" s="506">
        <f t="shared" si="29"/>
        <v>0</v>
      </c>
      <c r="F175" s="505">
        <v>17</v>
      </c>
      <c r="G175" s="506">
        <f t="shared" si="30"/>
        <v>0</v>
      </c>
      <c r="H175" s="505">
        <v>5.96</v>
      </c>
      <c r="I175" s="506">
        <f t="shared" si="31"/>
        <v>0</v>
      </c>
      <c r="J175" s="505">
        <v>3.5</v>
      </c>
      <c r="K175" s="506">
        <f t="shared" si="32"/>
        <v>0</v>
      </c>
      <c r="L175" s="505">
        <v>110</v>
      </c>
      <c r="M175" s="506">
        <f t="shared" si="33"/>
        <v>0</v>
      </c>
      <c r="N175" s="505">
        <v>390</v>
      </c>
      <c r="O175" s="506">
        <f t="shared" si="42"/>
        <v>0</v>
      </c>
      <c r="P175" s="505">
        <v>340</v>
      </c>
      <c r="Q175" s="506">
        <f t="shared" si="35"/>
        <v>0</v>
      </c>
      <c r="R175" s="505">
        <v>0.34</v>
      </c>
      <c r="S175" s="506">
        <f t="shared" si="36"/>
        <v>0</v>
      </c>
      <c r="T175" s="505">
        <v>0.16</v>
      </c>
      <c r="U175" s="506">
        <f t="shared" si="37"/>
        <v>0</v>
      </c>
      <c r="V175" s="505">
        <v>4.9000000000000004</v>
      </c>
      <c r="W175" s="506">
        <f t="shared" si="38"/>
        <v>0</v>
      </c>
      <c r="X175" s="505">
        <v>0.36</v>
      </c>
      <c r="Y175" s="506">
        <f t="shared" si="39"/>
        <v>0</v>
      </c>
      <c r="Z175" s="505">
        <v>1</v>
      </c>
      <c r="AA175" s="506">
        <f t="shared" si="40"/>
        <v>0</v>
      </c>
      <c r="AB175" s="505">
        <v>0</v>
      </c>
      <c r="AC175" s="506">
        <f t="shared" si="41"/>
        <v>0</v>
      </c>
      <c r="AD175" s="507" t="s">
        <v>574</v>
      </c>
    </row>
    <row r="176" spans="1:30" ht="13.5" thickBot="1" x14ac:dyDescent="0.25">
      <c r="A176" s="502" t="s">
        <v>580</v>
      </c>
      <c r="B176" s="508"/>
      <c r="C176" s="504">
        <v>100</v>
      </c>
      <c r="D176" s="505">
        <v>1</v>
      </c>
      <c r="E176" s="506">
        <f t="shared" si="29"/>
        <v>0</v>
      </c>
      <c r="F176" s="505">
        <v>10.6</v>
      </c>
      <c r="G176" s="506">
        <f t="shared" si="30"/>
        <v>0</v>
      </c>
      <c r="H176" s="505">
        <v>10.199999999999999</v>
      </c>
      <c r="I176" s="506">
        <f t="shared" si="31"/>
        <v>0</v>
      </c>
      <c r="J176" s="505">
        <v>1.3</v>
      </c>
      <c r="K176" s="506">
        <f t="shared" si="32"/>
        <v>0</v>
      </c>
      <c r="L176" s="505">
        <v>9</v>
      </c>
      <c r="M176" s="506">
        <f t="shared" si="33"/>
        <v>0</v>
      </c>
      <c r="N176" s="505">
        <v>52</v>
      </c>
      <c r="O176" s="506">
        <f t="shared" si="42"/>
        <v>1950</v>
      </c>
      <c r="P176" s="505">
        <v>70</v>
      </c>
      <c r="Q176" s="506">
        <f t="shared" si="35"/>
        <v>0</v>
      </c>
      <c r="R176" s="505">
        <v>0.18</v>
      </c>
      <c r="S176" s="506">
        <f t="shared" si="36"/>
        <v>0</v>
      </c>
      <c r="T176" s="505">
        <v>0.16</v>
      </c>
      <c r="U176" s="506">
        <f t="shared" si="37"/>
        <v>0</v>
      </c>
      <c r="V176" s="505">
        <v>2</v>
      </c>
      <c r="W176" s="506">
        <f t="shared" si="38"/>
        <v>0</v>
      </c>
      <c r="X176" s="505">
        <v>0.11</v>
      </c>
      <c r="Y176" s="506">
        <f t="shared" si="39"/>
        <v>0</v>
      </c>
      <c r="Z176" s="505">
        <v>0</v>
      </c>
      <c r="AA176" s="506">
        <f t="shared" si="40"/>
        <v>0</v>
      </c>
      <c r="AB176" s="505">
        <v>0</v>
      </c>
      <c r="AC176" s="506">
        <f t="shared" si="41"/>
        <v>0</v>
      </c>
      <c r="AD176" s="507" t="s">
        <v>574</v>
      </c>
    </row>
    <row r="177" spans="1:30" ht="13.5" thickBot="1" x14ac:dyDescent="0.25">
      <c r="A177" s="502" t="s">
        <v>581</v>
      </c>
      <c r="B177" s="508">
        <v>500</v>
      </c>
      <c r="C177" s="504">
        <v>100</v>
      </c>
      <c r="D177" s="505">
        <v>2</v>
      </c>
      <c r="E177" s="506">
        <f t="shared" si="29"/>
        <v>10</v>
      </c>
      <c r="F177" s="505">
        <v>12.1</v>
      </c>
      <c r="G177" s="506">
        <f t="shared" si="30"/>
        <v>60.5</v>
      </c>
      <c r="H177" s="505">
        <v>9.44</v>
      </c>
      <c r="I177" s="506">
        <f t="shared" si="31"/>
        <v>47.2</v>
      </c>
      <c r="J177" s="505">
        <v>1.3</v>
      </c>
      <c r="K177" s="506">
        <f t="shared" si="32"/>
        <v>6.5</v>
      </c>
      <c r="L177" s="505">
        <v>18</v>
      </c>
      <c r="M177" s="506">
        <f t="shared" si="33"/>
        <v>90</v>
      </c>
      <c r="N177" s="505">
        <v>58</v>
      </c>
      <c r="O177" s="506">
        <f t="shared" si="42"/>
        <v>0</v>
      </c>
      <c r="P177" s="505">
        <v>77</v>
      </c>
      <c r="Q177" s="506">
        <f t="shared" si="35"/>
        <v>385</v>
      </c>
      <c r="R177" s="505">
        <v>0.17</v>
      </c>
      <c r="S177" s="506">
        <f t="shared" si="36"/>
        <v>0.85</v>
      </c>
      <c r="T177" s="505">
        <v>0.16</v>
      </c>
      <c r="U177" s="506">
        <f t="shared" si="37"/>
        <v>0.8</v>
      </c>
      <c r="V177" s="505">
        <v>1.8</v>
      </c>
      <c r="W177" s="506">
        <f t="shared" si="38"/>
        <v>9</v>
      </c>
      <c r="X177" s="505">
        <v>0.11</v>
      </c>
      <c r="Y177" s="506">
        <f t="shared" si="39"/>
        <v>0.55000000000000004</v>
      </c>
      <c r="Z177" s="505">
        <v>0</v>
      </c>
      <c r="AA177" s="506">
        <f t="shared" si="40"/>
        <v>0</v>
      </c>
      <c r="AB177" s="505">
        <v>0</v>
      </c>
      <c r="AC177" s="506">
        <f t="shared" si="41"/>
        <v>0</v>
      </c>
      <c r="AD177" s="507" t="s">
        <v>574</v>
      </c>
    </row>
    <row r="178" spans="1:30" ht="13.5" thickBot="1" x14ac:dyDescent="0.25">
      <c r="A178" s="502" t="s">
        <v>582</v>
      </c>
      <c r="B178" s="508"/>
      <c r="C178" s="504">
        <v>100</v>
      </c>
      <c r="D178" s="505">
        <v>1</v>
      </c>
      <c r="E178" s="506">
        <f t="shared" si="29"/>
        <v>0</v>
      </c>
      <c r="F178" s="505">
        <v>15.4</v>
      </c>
      <c r="G178" s="506">
        <f t="shared" si="30"/>
        <v>0</v>
      </c>
      <c r="H178" s="505">
        <v>9.18</v>
      </c>
      <c r="I178" s="506">
        <f t="shared" si="31"/>
        <v>0</v>
      </c>
      <c r="J178" s="505">
        <v>1.3</v>
      </c>
      <c r="K178" s="506">
        <f t="shared" si="32"/>
        <v>0</v>
      </c>
      <c r="L178" s="505">
        <v>10</v>
      </c>
      <c r="M178" s="506">
        <f t="shared" si="33"/>
        <v>0</v>
      </c>
      <c r="N178" s="505">
        <v>57</v>
      </c>
      <c r="O178" s="506">
        <f t="shared" si="42"/>
        <v>0</v>
      </c>
      <c r="P178" s="505">
        <v>64</v>
      </c>
      <c r="Q178" s="506">
        <f t="shared" si="35"/>
        <v>0</v>
      </c>
      <c r="R178" s="505">
        <v>0.16</v>
      </c>
      <c r="S178" s="506">
        <f t="shared" si="36"/>
        <v>0</v>
      </c>
      <c r="T178" s="505">
        <v>0.15</v>
      </c>
      <c r="U178" s="506">
        <f t="shared" si="37"/>
        <v>0</v>
      </c>
      <c r="V178" s="505">
        <v>1.9</v>
      </c>
      <c r="W178" s="506">
        <f t="shared" si="38"/>
        <v>0</v>
      </c>
      <c r="X178" s="505">
        <v>0.1</v>
      </c>
      <c r="Y178" s="506">
        <f t="shared" si="39"/>
        <v>0</v>
      </c>
      <c r="Z178" s="505">
        <v>2</v>
      </c>
      <c r="AA178" s="506">
        <f t="shared" si="40"/>
        <v>0</v>
      </c>
      <c r="AB178" s="505">
        <v>0</v>
      </c>
      <c r="AC178" s="506">
        <f t="shared" si="41"/>
        <v>0</v>
      </c>
      <c r="AD178" s="507" t="s">
        <v>574</v>
      </c>
    </row>
    <row r="179" spans="1:30" ht="13.5" thickBot="1" x14ac:dyDescent="0.25">
      <c r="A179" s="502" t="s">
        <v>583</v>
      </c>
      <c r="B179" s="508"/>
      <c r="C179" s="504">
        <v>100</v>
      </c>
      <c r="D179" s="505">
        <v>2</v>
      </c>
      <c r="E179" s="506">
        <f t="shared" si="29"/>
        <v>0</v>
      </c>
      <c r="F179" s="505">
        <v>12.6</v>
      </c>
      <c r="G179" s="506">
        <f t="shared" si="30"/>
        <v>0</v>
      </c>
      <c r="H179" s="505">
        <v>0.71</v>
      </c>
      <c r="I179" s="506">
        <f t="shared" si="31"/>
        <v>0</v>
      </c>
      <c r="J179" s="505">
        <v>0.5</v>
      </c>
      <c r="K179" s="506">
        <f t="shared" si="32"/>
        <v>0</v>
      </c>
      <c r="L179" s="505">
        <v>90</v>
      </c>
      <c r="M179" s="506">
        <f t="shared" si="33"/>
        <v>0</v>
      </c>
      <c r="N179" s="505">
        <v>180</v>
      </c>
      <c r="O179" s="506">
        <f t="shared" si="42"/>
        <v>0</v>
      </c>
      <c r="P179" s="505">
        <v>80</v>
      </c>
      <c r="Q179" s="506">
        <f t="shared" si="35"/>
        <v>0</v>
      </c>
      <c r="R179" s="505">
        <v>0.03</v>
      </c>
      <c r="S179" s="506">
        <f t="shared" si="36"/>
        <v>0</v>
      </c>
      <c r="T179" s="505">
        <v>0.16</v>
      </c>
      <c r="U179" s="506">
        <f t="shared" si="37"/>
        <v>0</v>
      </c>
      <c r="V179" s="505">
        <v>0.3</v>
      </c>
      <c r="W179" s="506">
        <f t="shared" si="38"/>
        <v>0</v>
      </c>
      <c r="X179" s="505">
        <v>0.03</v>
      </c>
      <c r="Y179" s="506">
        <f t="shared" si="39"/>
        <v>0</v>
      </c>
      <c r="Z179" s="505">
        <v>2</v>
      </c>
      <c r="AA179" s="506">
        <f t="shared" si="40"/>
        <v>0</v>
      </c>
      <c r="AB179" s="505">
        <v>0</v>
      </c>
      <c r="AC179" s="506">
        <f t="shared" si="41"/>
        <v>0</v>
      </c>
      <c r="AD179" s="507" t="s">
        <v>574</v>
      </c>
    </row>
    <row r="180" spans="1:30" ht="13.5" thickBot="1" x14ac:dyDescent="0.25">
      <c r="A180" s="502" t="s">
        <v>584</v>
      </c>
      <c r="B180" s="508"/>
      <c r="C180" s="504">
        <v>100</v>
      </c>
      <c r="D180" s="505">
        <v>1</v>
      </c>
      <c r="E180" s="506">
        <f t="shared" si="29"/>
        <v>0</v>
      </c>
      <c r="F180" s="505">
        <v>12.6</v>
      </c>
      <c r="G180" s="506">
        <f t="shared" si="30"/>
        <v>0</v>
      </c>
      <c r="H180" s="505">
        <v>0.56999999999999995</v>
      </c>
      <c r="I180" s="506">
        <f t="shared" si="31"/>
        <v>0</v>
      </c>
      <c r="J180" s="505">
        <v>0.1</v>
      </c>
      <c r="K180" s="506">
        <f t="shared" si="32"/>
        <v>0</v>
      </c>
      <c r="L180" s="505">
        <v>88</v>
      </c>
      <c r="M180" s="506">
        <f t="shared" si="33"/>
        <v>0</v>
      </c>
      <c r="N180" s="505">
        <v>113</v>
      </c>
      <c r="O180" s="506">
        <f t="shared" si="42"/>
        <v>0</v>
      </c>
      <c r="P180" s="505">
        <v>68</v>
      </c>
      <c r="Q180" s="506">
        <f t="shared" si="35"/>
        <v>0</v>
      </c>
      <c r="R180" s="505">
        <v>0.02</v>
      </c>
      <c r="S180" s="506">
        <f t="shared" si="36"/>
        <v>0</v>
      </c>
      <c r="T180" s="505">
        <v>0.14000000000000001</v>
      </c>
      <c r="U180" s="506">
        <f t="shared" si="37"/>
        <v>0</v>
      </c>
      <c r="V180" s="505">
        <v>0.3</v>
      </c>
      <c r="W180" s="506">
        <f t="shared" si="38"/>
        <v>0</v>
      </c>
      <c r="X180" s="505">
        <v>0.01</v>
      </c>
      <c r="Y180" s="506">
        <f t="shared" si="39"/>
        <v>0</v>
      </c>
      <c r="Z180" s="505">
        <v>0</v>
      </c>
      <c r="AA180" s="506">
        <f t="shared" si="40"/>
        <v>0</v>
      </c>
      <c r="AB180" s="505">
        <v>0</v>
      </c>
      <c r="AC180" s="506">
        <f t="shared" si="41"/>
        <v>0</v>
      </c>
      <c r="AD180" s="507" t="s">
        <v>574</v>
      </c>
    </row>
    <row r="181" spans="1:30" ht="13.5" thickBot="1" x14ac:dyDescent="0.25">
      <c r="A181" s="502" t="s">
        <v>585</v>
      </c>
      <c r="B181" s="508"/>
      <c r="C181" s="504">
        <v>100</v>
      </c>
      <c r="D181" s="505">
        <v>0</v>
      </c>
      <c r="E181" s="506">
        <f t="shared" si="29"/>
        <v>0</v>
      </c>
      <c r="F181" s="505">
        <v>59.3</v>
      </c>
      <c r="G181" s="506">
        <f t="shared" si="30"/>
        <v>0</v>
      </c>
      <c r="H181" s="505">
        <v>0</v>
      </c>
      <c r="I181" s="506">
        <f t="shared" si="31"/>
        <v>0</v>
      </c>
      <c r="J181" s="505">
        <v>0.4</v>
      </c>
      <c r="K181" s="506">
        <f t="shared" si="32"/>
        <v>0</v>
      </c>
      <c r="L181" s="505">
        <v>28</v>
      </c>
      <c r="M181" s="506">
        <f t="shared" si="33"/>
        <v>0</v>
      </c>
      <c r="N181" s="505">
        <v>28</v>
      </c>
      <c r="O181" s="506">
        <f t="shared" si="42"/>
        <v>226</v>
      </c>
      <c r="P181" s="505">
        <v>4</v>
      </c>
      <c r="Q181" s="506">
        <f t="shared" si="35"/>
        <v>0</v>
      </c>
      <c r="R181" s="505">
        <v>0</v>
      </c>
      <c r="S181" s="506">
        <f t="shared" si="36"/>
        <v>0</v>
      </c>
      <c r="T181" s="505">
        <v>0</v>
      </c>
      <c r="U181" s="506">
        <f t="shared" si="37"/>
        <v>0</v>
      </c>
      <c r="V181" s="505">
        <v>0</v>
      </c>
      <c r="W181" s="506">
        <f t="shared" si="38"/>
        <v>0</v>
      </c>
      <c r="X181" s="505">
        <v>0</v>
      </c>
      <c r="Y181" s="506">
        <f t="shared" si="39"/>
        <v>0</v>
      </c>
      <c r="Z181" s="505">
        <v>0</v>
      </c>
      <c r="AA181" s="506">
        <f t="shared" si="40"/>
        <v>0</v>
      </c>
      <c r="AB181" s="505">
        <v>0</v>
      </c>
      <c r="AC181" s="506">
        <f t="shared" si="41"/>
        <v>0</v>
      </c>
      <c r="AD181" s="507" t="s">
        <v>574</v>
      </c>
    </row>
    <row r="182" spans="1:30" ht="13.5" thickBot="1" x14ac:dyDescent="0.25">
      <c r="A182" s="502" t="s">
        <v>586</v>
      </c>
      <c r="B182" s="508">
        <v>200</v>
      </c>
      <c r="C182" s="504">
        <v>100</v>
      </c>
      <c r="D182" s="505">
        <v>0</v>
      </c>
      <c r="E182" s="506">
        <f t="shared" si="29"/>
        <v>0</v>
      </c>
      <c r="F182" s="505">
        <v>91.6</v>
      </c>
      <c r="G182" s="506">
        <f t="shared" si="30"/>
        <v>183.2</v>
      </c>
      <c r="H182" s="505">
        <v>0</v>
      </c>
      <c r="I182" s="506">
        <f t="shared" si="31"/>
        <v>0</v>
      </c>
      <c r="J182" s="505">
        <v>0</v>
      </c>
      <c r="K182" s="506">
        <f t="shared" si="32"/>
        <v>0</v>
      </c>
      <c r="L182" s="505">
        <v>0</v>
      </c>
      <c r="M182" s="506">
        <f t="shared" si="33"/>
        <v>0</v>
      </c>
      <c r="N182" s="505">
        <v>2</v>
      </c>
      <c r="O182" s="506">
        <f t="shared" si="42"/>
        <v>16.8</v>
      </c>
      <c r="P182" s="505">
        <v>0</v>
      </c>
      <c r="Q182" s="506">
        <f t="shared" si="35"/>
        <v>0</v>
      </c>
      <c r="R182" s="505">
        <v>0</v>
      </c>
      <c r="S182" s="506">
        <f t="shared" si="36"/>
        <v>0</v>
      </c>
      <c r="T182" s="505">
        <v>0</v>
      </c>
      <c r="U182" s="506">
        <f t="shared" si="37"/>
        <v>0</v>
      </c>
      <c r="V182" s="505">
        <v>0</v>
      </c>
      <c r="W182" s="506">
        <f t="shared" si="38"/>
        <v>0</v>
      </c>
      <c r="X182" s="505">
        <v>0</v>
      </c>
      <c r="Y182" s="506">
        <f t="shared" si="39"/>
        <v>0</v>
      </c>
      <c r="Z182" s="505">
        <v>0</v>
      </c>
      <c r="AA182" s="506">
        <f t="shared" si="40"/>
        <v>0</v>
      </c>
      <c r="AB182" s="505">
        <v>0</v>
      </c>
      <c r="AC182" s="506">
        <f t="shared" si="41"/>
        <v>0</v>
      </c>
      <c r="AD182" s="507" t="s">
        <v>574</v>
      </c>
    </row>
    <row r="183" spans="1:30" ht="13.5" thickBot="1" x14ac:dyDescent="0.25">
      <c r="A183" s="502" t="s">
        <v>587</v>
      </c>
      <c r="B183" s="508">
        <v>60</v>
      </c>
      <c r="C183" s="504">
        <v>100</v>
      </c>
      <c r="D183" s="505">
        <v>6</v>
      </c>
      <c r="E183" s="506">
        <f t="shared" si="29"/>
        <v>3.6</v>
      </c>
      <c r="F183" s="505">
        <v>50.8</v>
      </c>
      <c r="G183" s="506">
        <f t="shared" si="30"/>
        <v>30.48</v>
      </c>
      <c r="H183" s="505">
        <v>21.93</v>
      </c>
      <c r="I183" s="506">
        <f t="shared" si="31"/>
        <v>13.157999999999999</v>
      </c>
      <c r="J183" s="505">
        <v>3</v>
      </c>
      <c r="K183" s="506">
        <f t="shared" si="32"/>
        <v>1.8</v>
      </c>
      <c r="L183" s="505">
        <v>262</v>
      </c>
      <c r="M183" s="506">
        <f t="shared" si="33"/>
        <v>157.19999999999999</v>
      </c>
      <c r="N183" s="505">
        <v>420</v>
      </c>
      <c r="O183" s="506">
        <f t="shared" si="42"/>
        <v>0</v>
      </c>
      <c r="P183" s="505">
        <v>207</v>
      </c>
      <c r="Q183" s="506">
        <f t="shared" si="35"/>
        <v>124.2</v>
      </c>
      <c r="R183" s="505">
        <v>0.09</v>
      </c>
      <c r="S183" s="506">
        <f t="shared" si="36"/>
        <v>5.3999999999999992E-2</v>
      </c>
      <c r="T183" s="505">
        <v>0.39</v>
      </c>
      <c r="U183" s="506">
        <f t="shared" si="37"/>
        <v>0.23400000000000001</v>
      </c>
      <c r="V183" s="505">
        <v>0.6</v>
      </c>
      <c r="W183" s="506">
        <f t="shared" si="38"/>
        <v>0.36</v>
      </c>
      <c r="X183" s="505">
        <v>0.04</v>
      </c>
      <c r="Y183" s="506">
        <f t="shared" si="39"/>
        <v>2.4E-2</v>
      </c>
      <c r="Z183" s="505">
        <v>0</v>
      </c>
      <c r="AA183" s="506">
        <f t="shared" si="40"/>
        <v>0</v>
      </c>
      <c r="AB183" s="505">
        <v>0</v>
      </c>
      <c r="AC183" s="506">
        <f t="shared" si="41"/>
        <v>0</v>
      </c>
      <c r="AD183" s="507" t="s">
        <v>574</v>
      </c>
    </row>
    <row r="184" spans="1:30" ht="13.5" thickBot="1" x14ac:dyDescent="0.25">
      <c r="A184" s="502" t="s">
        <v>588</v>
      </c>
      <c r="B184" s="508"/>
      <c r="C184" s="504">
        <v>100</v>
      </c>
      <c r="D184" s="505">
        <v>5</v>
      </c>
      <c r="E184" s="506">
        <f t="shared" si="29"/>
        <v>0</v>
      </c>
      <c r="F184" s="505">
        <v>58.3</v>
      </c>
      <c r="G184" s="506">
        <f t="shared" si="30"/>
        <v>0</v>
      </c>
      <c r="H184" s="505">
        <v>18.02</v>
      </c>
      <c r="I184" s="506">
        <f t="shared" si="31"/>
        <v>0</v>
      </c>
      <c r="J184" s="505">
        <v>0.2</v>
      </c>
      <c r="K184" s="506">
        <f t="shared" si="32"/>
        <v>0</v>
      </c>
      <c r="L184" s="505">
        <v>270</v>
      </c>
      <c r="M184" s="506">
        <f t="shared" si="33"/>
        <v>0</v>
      </c>
      <c r="N184" s="505">
        <v>350</v>
      </c>
      <c r="O184" s="506">
        <f t="shared" si="42"/>
        <v>0</v>
      </c>
      <c r="P184" s="505">
        <v>230</v>
      </c>
      <c r="Q184" s="506">
        <f t="shared" si="35"/>
        <v>0</v>
      </c>
      <c r="R184" s="505">
        <v>0.08</v>
      </c>
      <c r="S184" s="506">
        <f t="shared" si="36"/>
        <v>0</v>
      </c>
      <c r="T184" s="505">
        <v>0.49</v>
      </c>
      <c r="U184" s="506">
        <f t="shared" si="37"/>
        <v>0</v>
      </c>
      <c r="V184" s="505">
        <v>0.2</v>
      </c>
      <c r="W184" s="506">
        <f t="shared" si="38"/>
        <v>0</v>
      </c>
      <c r="X184" s="505">
        <v>7.0000000000000007E-2</v>
      </c>
      <c r="Y184" s="506">
        <f t="shared" si="39"/>
        <v>0</v>
      </c>
      <c r="Z184" s="505">
        <v>0</v>
      </c>
      <c r="AA184" s="506">
        <f t="shared" si="40"/>
        <v>0</v>
      </c>
      <c r="AB184" s="505">
        <v>2</v>
      </c>
      <c r="AC184" s="506">
        <f t="shared" si="41"/>
        <v>0</v>
      </c>
      <c r="AD184" s="507" t="s">
        <v>574</v>
      </c>
    </row>
    <row r="185" spans="1:30" ht="13.5" thickBot="1" x14ac:dyDescent="0.25">
      <c r="A185" s="502" t="s">
        <v>589</v>
      </c>
      <c r="B185" s="508"/>
      <c r="C185" s="504">
        <v>100</v>
      </c>
      <c r="D185" s="505">
        <v>4</v>
      </c>
      <c r="E185" s="506">
        <f t="shared" si="29"/>
        <v>0</v>
      </c>
      <c r="F185" s="505">
        <v>56.7</v>
      </c>
      <c r="G185" s="506">
        <f t="shared" si="30"/>
        <v>0</v>
      </c>
      <c r="H185" s="505">
        <v>20.25</v>
      </c>
      <c r="I185" s="506">
        <f t="shared" si="31"/>
        <v>0</v>
      </c>
      <c r="J185" s="505">
        <v>5</v>
      </c>
      <c r="K185" s="506">
        <f t="shared" si="32"/>
        <v>0</v>
      </c>
      <c r="L185" s="505">
        <v>51</v>
      </c>
      <c r="M185" s="506">
        <f t="shared" si="33"/>
        <v>0</v>
      </c>
      <c r="N185" s="505">
        <v>300</v>
      </c>
      <c r="O185" s="506">
        <f t="shared" si="42"/>
        <v>0</v>
      </c>
      <c r="P185" s="505">
        <v>186</v>
      </c>
      <c r="Q185" s="506">
        <f t="shared" si="35"/>
        <v>0</v>
      </c>
      <c r="R185" s="505">
        <v>7.0000000000000007E-2</v>
      </c>
      <c r="S185" s="506">
        <f t="shared" si="36"/>
        <v>0</v>
      </c>
      <c r="T185" s="505">
        <v>7.0000000000000007E-2</v>
      </c>
      <c r="U185" s="506">
        <f t="shared" si="37"/>
        <v>0</v>
      </c>
      <c r="V185" s="505">
        <v>0.6</v>
      </c>
      <c r="W185" s="506">
        <f t="shared" si="38"/>
        <v>0</v>
      </c>
      <c r="X185" s="505">
        <v>0.03</v>
      </c>
      <c r="Y185" s="506">
        <f t="shared" si="39"/>
        <v>0</v>
      </c>
      <c r="Z185" s="505">
        <v>0</v>
      </c>
      <c r="AA185" s="506">
        <f t="shared" si="40"/>
        <v>0</v>
      </c>
      <c r="AB185" s="505">
        <v>0</v>
      </c>
      <c r="AC185" s="506">
        <f t="shared" si="41"/>
        <v>0</v>
      </c>
      <c r="AD185" s="507" t="s">
        <v>574</v>
      </c>
    </row>
    <row r="186" spans="1:30" ht="13.5" thickBot="1" x14ac:dyDescent="0.25">
      <c r="A186" s="502" t="s">
        <v>590</v>
      </c>
      <c r="B186" s="508"/>
      <c r="C186" s="504">
        <v>100</v>
      </c>
      <c r="D186" s="505">
        <v>0</v>
      </c>
      <c r="E186" s="506">
        <f t="shared" si="29"/>
        <v>0</v>
      </c>
      <c r="F186" s="505">
        <v>52.7</v>
      </c>
      <c r="G186" s="506">
        <f t="shared" si="30"/>
        <v>0</v>
      </c>
      <c r="H186" s="505">
        <v>17.149999999999999</v>
      </c>
      <c r="I186" s="506">
        <f t="shared" si="31"/>
        <v>0</v>
      </c>
      <c r="J186" s="505">
        <v>1.9</v>
      </c>
      <c r="K186" s="506">
        <f t="shared" si="32"/>
        <v>0</v>
      </c>
      <c r="L186" s="505">
        <v>42</v>
      </c>
      <c r="M186" s="506">
        <f t="shared" si="33"/>
        <v>0</v>
      </c>
      <c r="N186" s="505">
        <v>300</v>
      </c>
      <c r="O186" s="506">
        <f t="shared" si="42"/>
        <v>3000</v>
      </c>
      <c r="P186" s="505">
        <v>162</v>
      </c>
      <c r="Q186" s="506">
        <f t="shared" si="35"/>
        <v>0</v>
      </c>
      <c r="R186" s="505">
        <v>0.26</v>
      </c>
      <c r="S186" s="506">
        <f t="shared" si="36"/>
        <v>0</v>
      </c>
      <c r="T186" s="505">
        <v>0.26</v>
      </c>
      <c r="U186" s="506">
        <f t="shared" si="37"/>
        <v>0</v>
      </c>
      <c r="V186" s="505">
        <v>2</v>
      </c>
      <c r="W186" s="506">
        <f t="shared" si="38"/>
        <v>0</v>
      </c>
      <c r="X186" s="505">
        <v>0.03</v>
      </c>
      <c r="Y186" s="506">
        <f t="shared" si="39"/>
        <v>0</v>
      </c>
      <c r="Z186" s="505">
        <v>0</v>
      </c>
      <c r="AA186" s="506">
        <f t="shared" si="40"/>
        <v>0</v>
      </c>
      <c r="AB186" s="505">
        <v>0</v>
      </c>
      <c r="AC186" s="506">
        <f t="shared" si="41"/>
        <v>0</v>
      </c>
      <c r="AD186" s="507" t="s">
        <v>574</v>
      </c>
    </row>
    <row r="187" spans="1:30" ht="13.5" thickBot="1" x14ac:dyDescent="0.25">
      <c r="A187" s="502" t="s">
        <v>591</v>
      </c>
      <c r="B187" s="508">
        <v>1000</v>
      </c>
      <c r="C187" s="504">
        <v>100</v>
      </c>
      <c r="D187" s="505">
        <v>0</v>
      </c>
      <c r="E187" s="506">
        <f t="shared" si="29"/>
        <v>0</v>
      </c>
      <c r="F187" s="505">
        <v>10.5</v>
      </c>
      <c r="G187" s="506">
        <f t="shared" si="30"/>
        <v>105</v>
      </c>
      <c r="H187" s="505">
        <v>0</v>
      </c>
      <c r="I187" s="506">
        <f t="shared" si="31"/>
        <v>0</v>
      </c>
      <c r="J187" s="505">
        <v>2</v>
      </c>
      <c r="K187" s="506">
        <f t="shared" si="32"/>
        <v>20</v>
      </c>
      <c r="L187" s="505">
        <v>5</v>
      </c>
      <c r="M187" s="506">
        <f t="shared" si="33"/>
        <v>50</v>
      </c>
      <c r="N187" s="505">
        <v>1</v>
      </c>
      <c r="O187" s="506">
        <f t="shared" si="42"/>
        <v>0</v>
      </c>
      <c r="P187" s="505">
        <v>15</v>
      </c>
      <c r="Q187" s="506">
        <f t="shared" si="35"/>
        <v>150</v>
      </c>
      <c r="R187" s="505">
        <v>0</v>
      </c>
      <c r="S187" s="506">
        <f t="shared" si="36"/>
        <v>0</v>
      </c>
      <c r="T187" s="505">
        <v>0</v>
      </c>
      <c r="U187" s="506">
        <f t="shared" si="37"/>
        <v>0</v>
      </c>
      <c r="V187" s="505">
        <v>0</v>
      </c>
      <c r="W187" s="506">
        <f t="shared" si="38"/>
        <v>0</v>
      </c>
      <c r="X187" s="505">
        <v>0</v>
      </c>
      <c r="Y187" s="506">
        <f t="shared" si="39"/>
        <v>0</v>
      </c>
      <c r="Z187" s="505">
        <v>0</v>
      </c>
      <c r="AA187" s="506">
        <f t="shared" si="40"/>
        <v>0</v>
      </c>
      <c r="AB187" s="505">
        <v>0</v>
      </c>
      <c r="AC187" s="506">
        <f t="shared" si="41"/>
        <v>0</v>
      </c>
      <c r="AD187" s="507" t="s">
        <v>574</v>
      </c>
    </row>
    <row r="188" spans="1:30" ht="13.5" thickBot="1" x14ac:dyDescent="0.25">
      <c r="A188" s="502" t="s">
        <v>592</v>
      </c>
      <c r="B188" s="508"/>
      <c r="C188" s="504">
        <v>100</v>
      </c>
      <c r="D188" s="505">
        <v>4</v>
      </c>
      <c r="E188" s="506">
        <f t="shared" si="29"/>
        <v>0</v>
      </c>
      <c r="F188" s="505">
        <v>58.1</v>
      </c>
      <c r="G188" s="506">
        <f t="shared" si="30"/>
        <v>0</v>
      </c>
      <c r="H188" s="505">
        <v>9.92</v>
      </c>
      <c r="I188" s="506">
        <f t="shared" si="31"/>
        <v>0</v>
      </c>
      <c r="J188" s="505">
        <v>3.6</v>
      </c>
      <c r="K188" s="506">
        <f t="shared" si="32"/>
        <v>0</v>
      </c>
      <c r="L188" s="505">
        <v>143</v>
      </c>
      <c r="M188" s="506">
        <f t="shared" si="33"/>
        <v>0</v>
      </c>
      <c r="N188" s="505">
        <v>370</v>
      </c>
      <c r="O188" s="506">
        <f t="shared" si="42"/>
        <v>0</v>
      </c>
      <c r="P188" s="505">
        <v>164</v>
      </c>
      <c r="Q188" s="506">
        <f t="shared" si="35"/>
        <v>0</v>
      </c>
      <c r="R188" s="505">
        <v>0.03</v>
      </c>
      <c r="S188" s="506">
        <f t="shared" si="36"/>
        <v>0</v>
      </c>
      <c r="T188" s="505">
        <v>0.1</v>
      </c>
      <c r="U188" s="506">
        <f t="shared" si="37"/>
        <v>0</v>
      </c>
      <c r="V188" s="505">
        <v>0.5</v>
      </c>
      <c r="W188" s="506">
        <f t="shared" si="38"/>
        <v>0</v>
      </c>
      <c r="X188" s="505">
        <v>0.1</v>
      </c>
      <c r="Y188" s="506">
        <f t="shared" si="39"/>
        <v>0</v>
      </c>
      <c r="Z188" s="505">
        <v>0</v>
      </c>
      <c r="AA188" s="506">
        <f t="shared" si="40"/>
        <v>0</v>
      </c>
      <c r="AB188" s="505">
        <v>2</v>
      </c>
      <c r="AC188" s="506">
        <f t="shared" si="41"/>
        <v>0</v>
      </c>
      <c r="AD188" s="507" t="s">
        <v>574</v>
      </c>
    </row>
    <row r="189" spans="1:30" ht="13.5" thickBot="1" x14ac:dyDescent="0.25">
      <c r="A189" s="502" t="s">
        <v>593</v>
      </c>
      <c r="B189" s="508"/>
      <c r="C189" s="504">
        <v>100</v>
      </c>
      <c r="D189" s="505">
        <v>4</v>
      </c>
      <c r="E189" s="506">
        <f t="shared" si="29"/>
        <v>0</v>
      </c>
      <c r="F189" s="505">
        <v>25.9</v>
      </c>
      <c r="G189" s="506">
        <f t="shared" si="30"/>
        <v>0</v>
      </c>
      <c r="H189" s="505">
        <v>2.63</v>
      </c>
      <c r="I189" s="506">
        <f t="shared" si="31"/>
        <v>0</v>
      </c>
      <c r="J189" s="505">
        <v>0.8</v>
      </c>
      <c r="K189" s="506">
        <f t="shared" si="32"/>
        <v>0</v>
      </c>
      <c r="L189" s="505">
        <v>97</v>
      </c>
      <c r="M189" s="506">
        <f t="shared" si="33"/>
        <v>0</v>
      </c>
      <c r="N189" s="505">
        <v>110</v>
      </c>
      <c r="O189" s="506">
        <f t="shared" si="42"/>
        <v>0</v>
      </c>
      <c r="P189" s="505">
        <v>136</v>
      </c>
      <c r="Q189" s="506">
        <f t="shared" si="35"/>
        <v>0</v>
      </c>
      <c r="R189" s="505">
        <v>0.08</v>
      </c>
      <c r="S189" s="506">
        <f t="shared" si="36"/>
        <v>0</v>
      </c>
      <c r="T189" s="505">
        <v>0.16</v>
      </c>
      <c r="U189" s="506">
        <f t="shared" si="37"/>
        <v>0</v>
      </c>
      <c r="V189" s="505">
        <v>0.1</v>
      </c>
      <c r="W189" s="506">
        <f t="shared" si="38"/>
        <v>0</v>
      </c>
      <c r="X189" s="505">
        <v>0.09</v>
      </c>
      <c r="Y189" s="506">
        <f t="shared" si="39"/>
        <v>0</v>
      </c>
      <c r="Z189" s="505">
        <v>2</v>
      </c>
      <c r="AA189" s="506">
        <f t="shared" si="40"/>
        <v>0</v>
      </c>
      <c r="AB189" s="505">
        <v>0</v>
      </c>
      <c r="AC189" s="506">
        <f t="shared" si="41"/>
        <v>0</v>
      </c>
      <c r="AD189" s="507" t="s">
        <v>574</v>
      </c>
    </row>
    <row r="190" spans="1:30" ht="13.5" thickBot="1" x14ac:dyDescent="0.25">
      <c r="A190" s="502" t="s">
        <v>594</v>
      </c>
      <c r="B190" s="508"/>
      <c r="C190" s="504">
        <v>100</v>
      </c>
      <c r="D190" s="505">
        <v>2</v>
      </c>
      <c r="E190" s="506">
        <f t="shared" si="29"/>
        <v>0</v>
      </c>
      <c r="F190" s="505">
        <v>18</v>
      </c>
      <c r="G190" s="506">
        <f t="shared" si="30"/>
        <v>0</v>
      </c>
      <c r="H190" s="505">
        <v>1.35</v>
      </c>
      <c r="I190" s="506">
        <f t="shared" si="31"/>
        <v>0</v>
      </c>
      <c r="J190" s="505">
        <v>2</v>
      </c>
      <c r="K190" s="506">
        <f t="shared" si="32"/>
        <v>0</v>
      </c>
      <c r="L190" s="505">
        <v>94</v>
      </c>
      <c r="M190" s="506">
        <f t="shared" si="33"/>
        <v>0</v>
      </c>
      <c r="N190" s="505">
        <v>150</v>
      </c>
      <c r="O190" s="506">
        <f t="shared" si="42"/>
        <v>550</v>
      </c>
      <c r="P190" s="505">
        <v>77</v>
      </c>
      <c r="Q190" s="506">
        <f t="shared" si="35"/>
        <v>0</v>
      </c>
      <c r="R190" s="505">
        <v>0.03</v>
      </c>
      <c r="S190" s="506">
        <f t="shared" si="36"/>
        <v>0</v>
      </c>
      <c r="T190" s="505">
        <v>0.2</v>
      </c>
      <c r="U190" s="506">
        <f t="shared" si="37"/>
        <v>0</v>
      </c>
      <c r="V190" s="505">
        <v>0.1</v>
      </c>
      <c r="W190" s="506">
        <f t="shared" si="38"/>
        <v>0</v>
      </c>
      <c r="X190" s="505">
        <v>0.03</v>
      </c>
      <c r="Y190" s="506">
        <f t="shared" si="39"/>
        <v>0</v>
      </c>
      <c r="Z190" s="505">
        <v>0</v>
      </c>
      <c r="AA190" s="506">
        <f t="shared" si="40"/>
        <v>0</v>
      </c>
      <c r="AB190" s="505">
        <v>0</v>
      </c>
      <c r="AC190" s="506">
        <f t="shared" si="41"/>
        <v>0</v>
      </c>
      <c r="AD190" s="507" t="s">
        <v>574</v>
      </c>
    </row>
    <row r="191" spans="1:30" ht="13.5" thickBot="1" x14ac:dyDescent="0.25">
      <c r="A191" s="502" t="s">
        <v>595</v>
      </c>
      <c r="B191" s="508">
        <v>500</v>
      </c>
      <c r="C191" s="504">
        <v>100</v>
      </c>
      <c r="D191" s="505">
        <v>1</v>
      </c>
      <c r="E191" s="506">
        <f t="shared" si="29"/>
        <v>5</v>
      </c>
      <c r="F191" s="505">
        <v>39.6</v>
      </c>
      <c r="G191" s="506">
        <f t="shared" si="30"/>
        <v>198</v>
      </c>
      <c r="H191" s="505">
        <v>4.5599999999999996</v>
      </c>
      <c r="I191" s="506">
        <f t="shared" si="31"/>
        <v>22.8</v>
      </c>
      <c r="J191" s="505">
        <v>1.4</v>
      </c>
      <c r="K191" s="506">
        <f t="shared" si="32"/>
        <v>7</v>
      </c>
      <c r="L191" s="505">
        <v>55</v>
      </c>
      <c r="M191" s="506">
        <f t="shared" si="33"/>
        <v>275</v>
      </c>
      <c r="N191" s="505">
        <v>110</v>
      </c>
      <c r="O191" s="506">
        <f t="shared" si="42"/>
        <v>450</v>
      </c>
      <c r="P191" s="505">
        <v>46</v>
      </c>
      <c r="Q191" s="506">
        <f t="shared" si="35"/>
        <v>230</v>
      </c>
      <c r="R191" s="505">
        <v>7.0000000000000007E-2</v>
      </c>
      <c r="S191" s="506">
        <f t="shared" si="36"/>
        <v>0.35</v>
      </c>
      <c r="T191" s="505">
        <v>0.01</v>
      </c>
      <c r="U191" s="506">
        <f t="shared" si="37"/>
        <v>0.05</v>
      </c>
      <c r="V191" s="505">
        <v>0.5</v>
      </c>
      <c r="W191" s="506">
        <f t="shared" si="38"/>
        <v>2.5</v>
      </c>
      <c r="X191" s="505">
        <v>0.04</v>
      </c>
      <c r="Y191" s="506">
        <f t="shared" si="39"/>
        <v>0.2</v>
      </c>
      <c r="Z191" s="505">
        <v>2</v>
      </c>
      <c r="AA191" s="506">
        <f t="shared" si="40"/>
        <v>10</v>
      </c>
      <c r="AB191" s="505">
        <v>0</v>
      </c>
      <c r="AC191" s="506">
        <f t="shared" si="41"/>
        <v>0</v>
      </c>
      <c r="AD191" s="507" t="s">
        <v>574</v>
      </c>
    </row>
    <row r="192" spans="1:30" ht="13.5" thickBot="1" x14ac:dyDescent="0.25">
      <c r="A192" s="502" t="s">
        <v>596</v>
      </c>
      <c r="B192" s="508">
        <v>300</v>
      </c>
      <c r="C192" s="504">
        <v>100</v>
      </c>
      <c r="D192" s="505">
        <v>3</v>
      </c>
      <c r="E192" s="506">
        <f t="shared" si="29"/>
        <v>9</v>
      </c>
      <c r="F192" s="505">
        <v>27</v>
      </c>
      <c r="G192" s="506">
        <f t="shared" si="30"/>
        <v>81</v>
      </c>
      <c r="H192" s="505">
        <v>6.8</v>
      </c>
      <c r="I192" s="506">
        <f t="shared" si="31"/>
        <v>20.399999999999999</v>
      </c>
      <c r="J192" s="505">
        <v>0.9</v>
      </c>
      <c r="K192" s="506">
        <f t="shared" si="32"/>
        <v>2.7</v>
      </c>
      <c r="L192" s="505">
        <v>109</v>
      </c>
      <c r="M192" s="506">
        <f t="shared" si="33"/>
        <v>327</v>
      </c>
      <c r="N192" s="505">
        <v>249</v>
      </c>
      <c r="O192" s="506">
        <f t="shared" si="42"/>
        <v>0</v>
      </c>
      <c r="P192" s="505">
        <v>107</v>
      </c>
      <c r="Q192" s="506">
        <f t="shared" si="35"/>
        <v>321</v>
      </c>
      <c r="R192" s="505">
        <v>0.04</v>
      </c>
      <c r="S192" s="506">
        <f t="shared" si="36"/>
        <v>0.12</v>
      </c>
      <c r="T192" s="505">
        <v>0.19</v>
      </c>
      <c r="U192" s="506">
        <f t="shared" si="37"/>
        <v>0.56999999999999995</v>
      </c>
      <c r="V192" s="505">
        <v>0.2</v>
      </c>
      <c r="W192" s="506">
        <f t="shared" si="38"/>
        <v>0.6</v>
      </c>
      <c r="X192" s="505">
        <v>0.06</v>
      </c>
      <c r="Y192" s="506">
        <f t="shared" si="39"/>
        <v>0.18</v>
      </c>
      <c r="Z192" s="505">
        <v>2</v>
      </c>
      <c r="AA192" s="506">
        <f t="shared" si="40"/>
        <v>6</v>
      </c>
      <c r="AB192" s="505">
        <v>0</v>
      </c>
      <c r="AC192" s="506">
        <f t="shared" si="41"/>
        <v>0</v>
      </c>
      <c r="AD192" s="507" t="s">
        <v>574</v>
      </c>
    </row>
    <row r="193" spans="1:30" ht="13.5" thickBot="1" x14ac:dyDescent="0.25">
      <c r="A193" s="502" t="s">
        <v>597</v>
      </c>
      <c r="B193" s="508"/>
      <c r="C193" s="504">
        <v>100</v>
      </c>
      <c r="D193" s="505">
        <v>3</v>
      </c>
      <c r="E193" s="506">
        <f t="shared" si="29"/>
        <v>0</v>
      </c>
      <c r="F193" s="505">
        <v>23.7</v>
      </c>
      <c r="G193" s="506">
        <f t="shared" si="30"/>
        <v>0</v>
      </c>
      <c r="H193" s="505">
        <v>4.96</v>
      </c>
      <c r="I193" s="506">
        <f t="shared" si="31"/>
        <v>0</v>
      </c>
      <c r="J193" s="505">
        <v>0.5</v>
      </c>
      <c r="K193" s="506">
        <f t="shared" si="32"/>
        <v>0</v>
      </c>
      <c r="L193" s="505">
        <v>110</v>
      </c>
      <c r="M193" s="506">
        <f t="shared" si="33"/>
        <v>0</v>
      </c>
      <c r="N193" s="505">
        <v>180</v>
      </c>
      <c r="O193" s="506">
        <f t="shared" si="42"/>
        <v>647.4</v>
      </c>
      <c r="P193" s="505">
        <v>99</v>
      </c>
      <c r="Q193" s="506">
        <f t="shared" si="35"/>
        <v>0</v>
      </c>
      <c r="R193" s="505">
        <v>0.04</v>
      </c>
      <c r="S193" s="506">
        <f t="shared" si="36"/>
        <v>0</v>
      </c>
      <c r="T193" s="505">
        <v>0.26</v>
      </c>
      <c r="U193" s="506">
        <f t="shared" si="37"/>
        <v>0</v>
      </c>
      <c r="V193" s="505">
        <v>0.2</v>
      </c>
      <c r="W193" s="506">
        <f t="shared" si="38"/>
        <v>0</v>
      </c>
      <c r="X193" s="505">
        <v>7.0000000000000007E-2</v>
      </c>
      <c r="Y193" s="506">
        <f t="shared" si="39"/>
        <v>0</v>
      </c>
      <c r="Z193" s="505">
        <v>1</v>
      </c>
      <c r="AA193" s="506">
        <f t="shared" si="40"/>
        <v>0</v>
      </c>
      <c r="AB193" s="505">
        <v>0</v>
      </c>
      <c r="AC193" s="506">
        <f t="shared" si="41"/>
        <v>0</v>
      </c>
      <c r="AD193" s="507" t="s">
        <v>574</v>
      </c>
    </row>
    <row r="194" spans="1:30" ht="13.5" thickBot="1" x14ac:dyDescent="0.25">
      <c r="A194" s="502" t="s">
        <v>598</v>
      </c>
      <c r="B194" s="508">
        <v>260</v>
      </c>
      <c r="C194" s="504">
        <v>100</v>
      </c>
      <c r="D194" s="505">
        <v>4</v>
      </c>
      <c r="E194" s="506">
        <f t="shared" ref="E194:E226" si="43">D194*B194/100</f>
        <v>10.4</v>
      </c>
      <c r="F194" s="505">
        <v>20.7</v>
      </c>
      <c r="G194" s="506">
        <f t="shared" ref="G194:G226" si="44">F194*B194/100</f>
        <v>53.82</v>
      </c>
      <c r="H194" s="505">
        <v>8.58</v>
      </c>
      <c r="I194" s="506">
        <f t="shared" ref="I194:I226" si="45">H194*B194/100</f>
        <v>22.308000000000003</v>
      </c>
      <c r="J194" s="505">
        <v>0.4</v>
      </c>
      <c r="K194" s="506">
        <f t="shared" ref="K194:K226" si="46">J194*B194/100</f>
        <v>1.04</v>
      </c>
      <c r="L194" s="505">
        <v>185</v>
      </c>
      <c r="M194" s="506">
        <f t="shared" ref="M194:M226" si="47">L194*B194/100</f>
        <v>481</v>
      </c>
      <c r="N194" s="505">
        <v>150</v>
      </c>
      <c r="O194" s="506">
        <f t="shared" ref="O194:O226" si="48">N193*B195/100</f>
        <v>0</v>
      </c>
      <c r="P194" s="505">
        <v>165</v>
      </c>
      <c r="Q194" s="506">
        <f t="shared" ref="Q194:Q226" si="49">P194*B194/100</f>
        <v>429</v>
      </c>
      <c r="R194" s="505">
        <v>0.06</v>
      </c>
      <c r="S194" s="506">
        <f t="shared" ref="S194:S226" si="50">R194*B194/100</f>
        <v>0.156</v>
      </c>
      <c r="T194" s="505">
        <v>0.1</v>
      </c>
      <c r="U194" s="506">
        <f t="shared" ref="U194:U226" si="51">T194*B194/100</f>
        <v>0.26</v>
      </c>
      <c r="V194" s="505">
        <v>0.1</v>
      </c>
      <c r="W194" s="506">
        <f t="shared" ref="W194:W226" si="52">V194*B194/100</f>
        <v>0.26</v>
      </c>
      <c r="X194" s="505">
        <v>0.08</v>
      </c>
      <c r="Y194" s="506">
        <f t="shared" ref="Y194:Y226" si="53">X194*B194/100</f>
        <v>0.20800000000000002</v>
      </c>
      <c r="Z194" s="505">
        <v>0</v>
      </c>
      <c r="AA194" s="506">
        <f t="shared" ref="AA194:AA226" si="54">Z194*B194/100</f>
        <v>0</v>
      </c>
      <c r="AB194" s="505">
        <v>0</v>
      </c>
      <c r="AC194" s="506">
        <f t="shared" ref="AC194:AC226" si="55">AB194*B194/100</f>
        <v>0</v>
      </c>
      <c r="AD194" s="507" t="s">
        <v>574</v>
      </c>
    </row>
    <row r="195" spans="1:30" ht="13.5" thickBot="1" x14ac:dyDescent="0.25">
      <c r="A195" s="502" t="s">
        <v>599</v>
      </c>
      <c r="B195" s="508"/>
      <c r="C195" s="504">
        <v>100</v>
      </c>
      <c r="D195" s="505">
        <v>0</v>
      </c>
      <c r="E195" s="506">
        <f t="shared" si="43"/>
        <v>0</v>
      </c>
      <c r="F195" s="505">
        <v>36.5</v>
      </c>
      <c r="G195" s="506">
        <f t="shared" si="44"/>
        <v>0</v>
      </c>
      <c r="H195" s="505">
        <v>0</v>
      </c>
      <c r="I195" s="506">
        <f t="shared" si="45"/>
        <v>0</v>
      </c>
      <c r="J195" s="505">
        <v>0</v>
      </c>
      <c r="K195" s="506">
        <f t="shared" si="46"/>
        <v>0</v>
      </c>
      <c r="L195" s="505">
        <v>0</v>
      </c>
      <c r="M195" s="506">
        <f t="shared" si="47"/>
        <v>0</v>
      </c>
      <c r="N195" s="505">
        <v>14</v>
      </c>
      <c r="O195" s="506">
        <f t="shared" si="48"/>
        <v>0</v>
      </c>
      <c r="P195" s="505">
        <v>0</v>
      </c>
      <c r="Q195" s="506">
        <f t="shared" si="49"/>
        <v>0</v>
      </c>
      <c r="R195" s="505">
        <v>0</v>
      </c>
      <c r="S195" s="506">
        <f t="shared" si="50"/>
        <v>0</v>
      </c>
      <c r="T195" s="505">
        <v>0</v>
      </c>
      <c r="U195" s="506">
        <f t="shared" si="51"/>
        <v>0</v>
      </c>
      <c r="V195" s="505">
        <v>0</v>
      </c>
      <c r="W195" s="506">
        <f t="shared" si="52"/>
        <v>0</v>
      </c>
      <c r="X195" s="505">
        <v>0</v>
      </c>
      <c r="Y195" s="506">
        <f t="shared" si="53"/>
        <v>0</v>
      </c>
      <c r="Z195" s="505">
        <v>12</v>
      </c>
      <c r="AA195" s="506">
        <f t="shared" si="54"/>
        <v>0</v>
      </c>
      <c r="AB195" s="505">
        <v>0</v>
      </c>
      <c r="AC195" s="506">
        <f t="shared" si="55"/>
        <v>0</v>
      </c>
      <c r="AD195" s="507" t="s">
        <v>574</v>
      </c>
    </row>
    <row r="196" spans="1:30" ht="13.5" thickBot="1" x14ac:dyDescent="0.25">
      <c r="A196" s="502" t="s">
        <v>600</v>
      </c>
      <c r="B196" s="508"/>
      <c r="C196" s="504">
        <v>100</v>
      </c>
      <c r="D196" s="505">
        <v>0</v>
      </c>
      <c r="E196" s="506">
        <f t="shared" si="43"/>
        <v>0</v>
      </c>
      <c r="F196" s="505">
        <v>96.7</v>
      </c>
      <c r="G196" s="506">
        <f t="shared" si="44"/>
        <v>0</v>
      </c>
      <c r="H196" s="505">
        <v>0.04</v>
      </c>
      <c r="I196" s="506">
        <f t="shared" si="45"/>
        <v>0</v>
      </c>
      <c r="J196" s="505">
        <v>0</v>
      </c>
      <c r="K196" s="506">
        <f t="shared" si="46"/>
        <v>0</v>
      </c>
      <c r="L196" s="505">
        <v>0</v>
      </c>
      <c r="M196" s="506">
        <f t="shared" si="47"/>
        <v>0</v>
      </c>
      <c r="N196" s="505">
        <v>4</v>
      </c>
      <c r="O196" s="506">
        <f t="shared" si="48"/>
        <v>0</v>
      </c>
      <c r="P196" s="505">
        <v>0</v>
      </c>
      <c r="Q196" s="506">
        <f t="shared" si="49"/>
        <v>0</v>
      </c>
      <c r="R196" s="505">
        <v>0</v>
      </c>
      <c r="S196" s="506">
        <f t="shared" si="50"/>
        <v>0</v>
      </c>
      <c r="T196" s="505">
        <v>0</v>
      </c>
      <c r="U196" s="506">
        <f t="shared" si="51"/>
        <v>0</v>
      </c>
      <c r="V196" s="505">
        <v>0</v>
      </c>
      <c r="W196" s="506">
        <f t="shared" si="52"/>
        <v>0</v>
      </c>
      <c r="X196" s="505">
        <v>0</v>
      </c>
      <c r="Y196" s="506">
        <f t="shared" si="53"/>
        <v>0</v>
      </c>
      <c r="Z196" s="505">
        <v>0</v>
      </c>
      <c r="AA196" s="506">
        <f t="shared" si="54"/>
        <v>0</v>
      </c>
      <c r="AB196" s="505">
        <v>0</v>
      </c>
      <c r="AC196" s="506">
        <f t="shared" si="55"/>
        <v>0</v>
      </c>
      <c r="AD196" s="507" t="s">
        <v>574</v>
      </c>
    </row>
    <row r="197" spans="1:30" ht="13.5" thickBot="1" x14ac:dyDescent="0.25">
      <c r="A197" s="502" t="s">
        <v>601</v>
      </c>
      <c r="B197" s="508"/>
      <c r="C197" s="504">
        <v>100</v>
      </c>
      <c r="D197" s="505">
        <v>0</v>
      </c>
      <c r="E197" s="506">
        <f t="shared" si="43"/>
        <v>0</v>
      </c>
      <c r="F197" s="505">
        <v>58.7</v>
      </c>
      <c r="G197" s="506">
        <f t="shared" si="44"/>
        <v>0</v>
      </c>
      <c r="H197" s="505">
        <v>0</v>
      </c>
      <c r="I197" s="506">
        <f t="shared" si="45"/>
        <v>0</v>
      </c>
      <c r="J197" s="505">
        <v>1.4</v>
      </c>
      <c r="K197" s="506">
        <f t="shared" si="46"/>
        <v>0</v>
      </c>
      <c r="L197" s="505">
        <v>18</v>
      </c>
      <c r="M197" s="506">
        <f t="shared" si="47"/>
        <v>0</v>
      </c>
      <c r="N197" s="505">
        <v>100</v>
      </c>
      <c r="O197" s="506">
        <f t="shared" si="48"/>
        <v>0</v>
      </c>
      <c r="P197" s="505">
        <v>7</v>
      </c>
      <c r="Q197" s="506">
        <f t="shared" si="49"/>
        <v>0</v>
      </c>
      <c r="R197" s="505">
        <v>0.02</v>
      </c>
      <c r="S197" s="506">
        <f t="shared" si="50"/>
        <v>0</v>
      </c>
      <c r="T197" s="505">
        <v>0.02</v>
      </c>
      <c r="U197" s="506">
        <f t="shared" si="51"/>
        <v>0</v>
      </c>
      <c r="V197" s="505">
        <v>0.9</v>
      </c>
      <c r="W197" s="506">
        <f t="shared" si="52"/>
        <v>0</v>
      </c>
      <c r="X197" s="505">
        <v>2</v>
      </c>
      <c r="Y197" s="506">
        <f t="shared" si="53"/>
        <v>0</v>
      </c>
      <c r="Z197" s="505">
        <v>4</v>
      </c>
      <c r="AA197" s="506">
        <f t="shared" si="54"/>
        <v>0</v>
      </c>
      <c r="AB197" s="505">
        <v>0</v>
      </c>
      <c r="AC197" s="506">
        <f t="shared" si="55"/>
        <v>0</v>
      </c>
      <c r="AD197" s="507" t="s">
        <v>574</v>
      </c>
    </row>
    <row r="198" spans="1:30" ht="13.5" thickBot="1" x14ac:dyDescent="0.25">
      <c r="A198" s="502" t="s">
        <v>602</v>
      </c>
      <c r="B198" s="508"/>
      <c r="C198" s="504">
        <v>100</v>
      </c>
      <c r="D198" s="505">
        <v>0</v>
      </c>
      <c r="E198" s="506">
        <f t="shared" si="43"/>
        <v>0</v>
      </c>
      <c r="F198" s="505">
        <v>31.9</v>
      </c>
      <c r="G198" s="506">
        <f t="shared" si="44"/>
        <v>0</v>
      </c>
      <c r="H198" s="505">
        <v>2</v>
      </c>
      <c r="I198" s="506">
        <f t="shared" si="45"/>
        <v>0</v>
      </c>
      <c r="J198" s="505">
        <v>0.4</v>
      </c>
      <c r="K198" s="506">
        <f t="shared" si="46"/>
        <v>0</v>
      </c>
      <c r="L198" s="505">
        <v>19</v>
      </c>
      <c r="M198" s="506">
        <f t="shared" si="47"/>
        <v>0</v>
      </c>
      <c r="N198" s="505">
        <v>120</v>
      </c>
      <c r="O198" s="506">
        <f t="shared" si="48"/>
        <v>0</v>
      </c>
      <c r="P198" s="505">
        <v>15</v>
      </c>
      <c r="Q198" s="506">
        <f t="shared" si="49"/>
        <v>0</v>
      </c>
      <c r="R198" s="505">
        <v>2</v>
      </c>
      <c r="S198" s="506">
        <f t="shared" si="50"/>
        <v>0</v>
      </c>
      <c r="T198" s="505">
        <v>2</v>
      </c>
      <c r="U198" s="506">
        <f t="shared" si="51"/>
        <v>0</v>
      </c>
      <c r="V198" s="505">
        <v>2</v>
      </c>
      <c r="W198" s="506">
        <f t="shared" si="52"/>
        <v>0</v>
      </c>
      <c r="X198" s="505">
        <v>2</v>
      </c>
      <c r="Y198" s="506">
        <f t="shared" si="53"/>
        <v>0</v>
      </c>
      <c r="Z198" s="505">
        <v>26</v>
      </c>
      <c r="AA198" s="506">
        <f t="shared" si="54"/>
        <v>0</v>
      </c>
      <c r="AB198" s="505">
        <v>0</v>
      </c>
      <c r="AC198" s="506">
        <f t="shared" si="55"/>
        <v>0</v>
      </c>
      <c r="AD198" s="507" t="s">
        <v>574</v>
      </c>
    </row>
    <row r="199" spans="1:30" ht="13.5" thickBot="1" x14ac:dyDescent="0.25">
      <c r="A199" s="502" t="s">
        <v>603</v>
      </c>
      <c r="B199" s="508"/>
      <c r="C199" s="504">
        <v>100</v>
      </c>
      <c r="D199" s="505">
        <v>3</v>
      </c>
      <c r="E199" s="506">
        <f t="shared" si="43"/>
        <v>0</v>
      </c>
      <c r="F199" s="505">
        <v>46.5</v>
      </c>
      <c r="G199" s="506">
        <f t="shared" si="44"/>
        <v>0</v>
      </c>
      <c r="H199" s="505">
        <v>2.4500000000000002</v>
      </c>
      <c r="I199" s="506">
        <f t="shared" si="45"/>
        <v>0</v>
      </c>
      <c r="J199" s="505">
        <v>0.8</v>
      </c>
      <c r="K199" s="506">
        <f t="shared" si="46"/>
        <v>0</v>
      </c>
      <c r="L199" s="505">
        <v>11</v>
      </c>
      <c r="M199" s="506">
        <f t="shared" si="47"/>
        <v>0</v>
      </c>
      <c r="N199" s="505">
        <v>98</v>
      </c>
      <c r="O199" s="506">
        <f t="shared" si="48"/>
        <v>0</v>
      </c>
      <c r="P199" s="505">
        <v>55</v>
      </c>
      <c r="Q199" s="506">
        <f t="shared" si="49"/>
        <v>0</v>
      </c>
      <c r="R199" s="505">
        <v>7.0000000000000007E-2</v>
      </c>
      <c r="S199" s="506">
        <f t="shared" si="50"/>
        <v>0</v>
      </c>
      <c r="T199" s="505">
        <v>0.17</v>
      </c>
      <c r="U199" s="506">
        <f t="shared" si="51"/>
        <v>0</v>
      </c>
      <c r="V199" s="505">
        <v>0.3</v>
      </c>
      <c r="W199" s="506">
        <f t="shared" si="52"/>
        <v>0</v>
      </c>
      <c r="X199" s="505">
        <v>0.05</v>
      </c>
      <c r="Y199" s="506">
        <f t="shared" si="53"/>
        <v>0</v>
      </c>
      <c r="Z199" s="505">
        <v>0</v>
      </c>
      <c r="AA199" s="506">
        <f t="shared" si="54"/>
        <v>0</v>
      </c>
      <c r="AB199" s="505">
        <v>0</v>
      </c>
      <c r="AC199" s="506">
        <f t="shared" si="55"/>
        <v>0</v>
      </c>
      <c r="AD199" s="507" t="s">
        <v>574</v>
      </c>
    </row>
    <row r="200" spans="1:30" ht="13.5" thickBot="1" x14ac:dyDescent="0.25">
      <c r="A200" s="502" t="s">
        <v>604</v>
      </c>
      <c r="B200" s="508"/>
      <c r="C200" s="504">
        <v>100</v>
      </c>
      <c r="D200" s="505">
        <v>4</v>
      </c>
      <c r="E200" s="506">
        <f t="shared" si="43"/>
        <v>0</v>
      </c>
      <c r="F200" s="505">
        <v>45.7</v>
      </c>
      <c r="G200" s="506">
        <f t="shared" si="44"/>
        <v>0</v>
      </c>
      <c r="H200" s="505">
        <v>5.51</v>
      </c>
      <c r="I200" s="506">
        <f t="shared" si="45"/>
        <v>0</v>
      </c>
      <c r="J200" s="505">
        <v>1.8</v>
      </c>
      <c r="K200" s="506">
        <f t="shared" si="46"/>
        <v>0</v>
      </c>
      <c r="L200" s="505">
        <v>17</v>
      </c>
      <c r="M200" s="506">
        <f t="shared" si="47"/>
        <v>0</v>
      </c>
      <c r="N200" s="505">
        <v>180</v>
      </c>
      <c r="O200" s="506">
        <f t="shared" si="48"/>
        <v>0</v>
      </c>
      <c r="P200" s="505">
        <v>172</v>
      </c>
      <c r="Q200" s="506">
        <f t="shared" si="49"/>
        <v>0</v>
      </c>
      <c r="R200" s="505">
        <v>0.09</v>
      </c>
      <c r="S200" s="506">
        <f t="shared" si="50"/>
        <v>0</v>
      </c>
      <c r="T200" s="505">
        <v>0.12</v>
      </c>
      <c r="U200" s="506">
        <f t="shared" si="51"/>
        <v>0</v>
      </c>
      <c r="V200" s="505">
        <v>0.5</v>
      </c>
      <c r="W200" s="506">
        <f t="shared" si="52"/>
        <v>0</v>
      </c>
      <c r="X200" s="505">
        <v>0.06</v>
      </c>
      <c r="Y200" s="506">
        <f t="shared" si="53"/>
        <v>0</v>
      </c>
      <c r="Z200" s="505">
        <v>0</v>
      </c>
      <c r="AA200" s="506">
        <f t="shared" si="54"/>
        <v>0</v>
      </c>
      <c r="AB200" s="505">
        <v>2</v>
      </c>
      <c r="AC200" s="506">
        <f t="shared" si="55"/>
        <v>0</v>
      </c>
      <c r="AD200" s="507" t="s">
        <v>574</v>
      </c>
    </row>
    <row r="201" spans="1:30" ht="13.5" thickBot="1" x14ac:dyDescent="0.25">
      <c r="A201" s="502" t="s">
        <v>605</v>
      </c>
      <c r="B201" s="508"/>
      <c r="C201" s="504">
        <v>100</v>
      </c>
      <c r="D201" s="505">
        <v>4</v>
      </c>
      <c r="E201" s="506">
        <f t="shared" si="43"/>
        <v>0</v>
      </c>
      <c r="F201" s="505">
        <v>20.9</v>
      </c>
      <c r="G201" s="506">
        <f t="shared" si="44"/>
        <v>0</v>
      </c>
      <c r="H201" s="505">
        <v>8.14</v>
      </c>
      <c r="I201" s="506">
        <f t="shared" si="45"/>
        <v>0</v>
      </c>
      <c r="J201" s="505">
        <v>1.3</v>
      </c>
      <c r="K201" s="506">
        <f t="shared" si="46"/>
        <v>0</v>
      </c>
      <c r="L201" s="505">
        <v>10</v>
      </c>
      <c r="M201" s="506">
        <f t="shared" si="47"/>
        <v>0</v>
      </c>
      <c r="N201" s="505">
        <v>103</v>
      </c>
      <c r="O201" s="506">
        <f t="shared" si="48"/>
        <v>0</v>
      </c>
      <c r="P201" s="505">
        <v>117</v>
      </c>
      <c r="Q201" s="506">
        <f t="shared" si="49"/>
        <v>0</v>
      </c>
      <c r="R201" s="505">
        <v>0.09</v>
      </c>
      <c r="S201" s="506">
        <f t="shared" si="50"/>
        <v>0</v>
      </c>
      <c r="T201" s="505">
        <v>0.12</v>
      </c>
      <c r="U201" s="506">
        <f t="shared" si="51"/>
        <v>0</v>
      </c>
      <c r="V201" s="505">
        <v>0.5</v>
      </c>
      <c r="W201" s="506">
        <f t="shared" si="52"/>
        <v>0</v>
      </c>
      <c r="X201" s="505">
        <v>0.06</v>
      </c>
      <c r="Y201" s="506">
        <f t="shared" si="53"/>
        <v>0</v>
      </c>
      <c r="Z201" s="505">
        <v>0</v>
      </c>
      <c r="AA201" s="506">
        <f t="shared" si="54"/>
        <v>0</v>
      </c>
      <c r="AB201" s="505">
        <v>2</v>
      </c>
      <c r="AC201" s="506">
        <f t="shared" si="55"/>
        <v>0</v>
      </c>
      <c r="AD201" s="507" t="s">
        <v>574</v>
      </c>
    </row>
    <row r="202" spans="1:30" ht="13.5" thickBot="1" x14ac:dyDescent="0.25">
      <c r="A202" s="502" t="s">
        <v>606</v>
      </c>
      <c r="B202" s="508"/>
      <c r="C202" s="504">
        <v>100</v>
      </c>
      <c r="D202" s="505">
        <v>5</v>
      </c>
      <c r="E202" s="506">
        <f t="shared" si="43"/>
        <v>0</v>
      </c>
      <c r="F202" s="505">
        <v>95.4</v>
      </c>
      <c r="G202" s="506">
        <f t="shared" si="44"/>
        <v>0</v>
      </c>
      <c r="H202" s="505">
        <v>2</v>
      </c>
      <c r="I202" s="506">
        <f t="shared" si="45"/>
        <v>0</v>
      </c>
      <c r="J202" s="505">
        <v>0.1</v>
      </c>
      <c r="K202" s="506">
        <f t="shared" si="46"/>
        <v>0</v>
      </c>
      <c r="L202" s="505">
        <v>4</v>
      </c>
      <c r="M202" s="506">
        <f t="shared" si="47"/>
        <v>0</v>
      </c>
      <c r="N202" s="505">
        <v>90</v>
      </c>
      <c r="O202" s="506">
        <f t="shared" si="48"/>
        <v>0</v>
      </c>
      <c r="P202" s="505">
        <v>19</v>
      </c>
      <c r="Q202" s="506">
        <f t="shared" si="49"/>
        <v>0</v>
      </c>
      <c r="R202" s="505">
        <v>2</v>
      </c>
      <c r="S202" s="506">
        <f t="shared" si="50"/>
        <v>0</v>
      </c>
      <c r="T202" s="505">
        <v>0.24</v>
      </c>
      <c r="U202" s="506">
        <f t="shared" si="51"/>
        <v>0</v>
      </c>
      <c r="V202" s="505">
        <v>0.1</v>
      </c>
      <c r="W202" s="506">
        <f t="shared" si="52"/>
        <v>0</v>
      </c>
      <c r="X202" s="505">
        <v>0.01</v>
      </c>
      <c r="Y202" s="506">
        <f t="shared" si="53"/>
        <v>0</v>
      </c>
      <c r="Z202" s="505">
        <v>0</v>
      </c>
      <c r="AA202" s="506">
        <f t="shared" si="54"/>
        <v>0</v>
      </c>
      <c r="AB202" s="505">
        <v>0</v>
      </c>
      <c r="AC202" s="506">
        <f t="shared" si="55"/>
        <v>0</v>
      </c>
      <c r="AD202" s="507" t="s">
        <v>574</v>
      </c>
    </row>
    <row r="203" spans="1:30" ht="13.5" thickBot="1" x14ac:dyDescent="0.25">
      <c r="A203" s="502" t="s">
        <v>607</v>
      </c>
      <c r="B203" s="508"/>
      <c r="C203" s="504">
        <v>100</v>
      </c>
      <c r="D203" s="505">
        <v>0</v>
      </c>
      <c r="E203" s="506">
        <f t="shared" si="43"/>
        <v>0</v>
      </c>
      <c r="F203" s="505">
        <v>80.3</v>
      </c>
      <c r="G203" s="506">
        <f t="shared" si="44"/>
        <v>0</v>
      </c>
      <c r="H203" s="505">
        <v>0</v>
      </c>
      <c r="I203" s="506">
        <f t="shared" si="45"/>
        <v>0</v>
      </c>
      <c r="J203" s="505">
        <v>0.5</v>
      </c>
      <c r="K203" s="506">
        <f t="shared" si="46"/>
        <v>0</v>
      </c>
      <c r="L203" s="505">
        <v>5</v>
      </c>
      <c r="M203" s="506">
        <f t="shared" si="47"/>
        <v>0</v>
      </c>
      <c r="N203" s="505">
        <v>51</v>
      </c>
      <c r="O203" s="506">
        <f t="shared" si="48"/>
        <v>0</v>
      </c>
      <c r="P203" s="505">
        <v>6</v>
      </c>
      <c r="Q203" s="506">
        <f t="shared" si="49"/>
        <v>0</v>
      </c>
      <c r="R203" s="505">
        <v>2</v>
      </c>
      <c r="S203" s="506">
        <f t="shared" si="50"/>
        <v>0</v>
      </c>
      <c r="T203" s="505">
        <v>0.04</v>
      </c>
      <c r="U203" s="506">
        <f t="shared" si="51"/>
        <v>0</v>
      </c>
      <c r="V203" s="505">
        <v>0.3</v>
      </c>
      <c r="W203" s="506">
        <f t="shared" si="52"/>
        <v>0</v>
      </c>
      <c r="X203" s="505">
        <v>0.02</v>
      </c>
      <c r="Y203" s="506">
        <f t="shared" si="53"/>
        <v>0</v>
      </c>
      <c r="Z203" s="505">
        <v>1</v>
      </c>
      <c r="AA203" s="506">
        <f t="shared" si="54"/>
        <v>0</v>
      </c>
      <c r="AB203" s="505">
        <v>0</v>
      </c>
      <c r="AC203" s="506">
        <f t="shared" si="55"/>
        <v>0</v>
      </c>
      <c r="AD203" s="507" t="s">
        <v>574</v>
      </c>
    </row>
    <row r="204" spans="1:30" ht="13.5" thickBot="1" x14ac:dyDescent="0.25">
      <c r="A204" s="502" t="s">
        <v>608</v>
      </c>
      <c r="B204" s="508"/>
      <c r="C204" s="504">
        <v>100</v>
      </c>
      <c r="D204" s="505">
        <v>5</v>
      </c>
      <c r="E204" s="506">
        <f t="shared" si="43"/>
        <v>0</v>
      </c>
      <c r="F204" s="505">
        <v>32.4</v>
      </c>
      <c r="G204" s="506">
        <f t="shared" si="44"/>
        <v>0</v>
      </c>
      <c r="H204" s="505">
        <v>2.34</v>
      </c>
      <c r="I204" s="506">
        <f t="shared" si="45"/>
        <v>0</v>
      </c>
      <c r="J204" s="505">
        <v>1.1000000000000001</v>
      </c>
      <c r="K204" s="506">
        <f t="shared" si="46"/>
        <v>0</v>
      </c>
      <c r="L204" s="505">
        <v>24</v>
      </c>
      <c r="M204" s="506">
        <f t="shared" si="47"/>
        <v>0</v>
      </c>
      <c r="N204" s="505">
        <v>104</v>
      </c>
      <c r="O204" s="506">
        <f t="shared" si="48"/>
        <v>0</v>
      </c>
      <c r="P204" s="505">
        <v>102</v>
      </c>
      <c r="Q204" s="506">
        <f t="shared" si="49"/>
        <v>0</v>
      </c>
      <c r="R204" s="505">
        <v>0.11</v>
      </c>
      <c r="S204" s="506">
        <f t="shared" si="50"/>
        <v>0</v>
      </c>
      <c r="T204" s="505">
        <v>0.24</v>
      </c>
      <c r="U204" s="506">
        <f t="shared" si="51"/>
        <v>0</v>
      </c>
      <c r="V204" s="505">
        <v>0.5</v>
      </c>
      <c r="W204" s="506">
        <f t="shared" si="52"/>
        <v>0</v>
      </c>
      <c r="X204" s="505">
        <v>0.08</v>
      </c>
      <c r="Y204" s="506">
        <f t="shared" si="53"/>
        <v>0</v>
      </c>
      <c r="Z204" s="505">
        <v>0</v>
      </c>
      <c r="AA204" s="506">
        <f t="shared" si="54"/>
        <v>0</v>
      </c>
      <c r="AB204" s="505">
        <v>1</v>
      </c>
      <c r="AC204" s="506">
        <f t="shared" si="55"/>
        <v>0</v>
      </c>
      <c r="AD204" s="507" t="s">
        <v>574</v>
      </c>
    </row>
    <row r="205" spans="1:30" ht="13.5" thickBot="1" x14ac:dyDescent="0.25">
      <c r="A205" s="502" t="s">
        <v>609</v>
      </c>
      <c r="B205" s="508"/>
      <c r="C205" s="504">
        <v>100</v>
      </c>
      <c r="D205" s="505">
        <v>2</v>
      </c>
      <c r="E205" s="506">
        <f t="shared" si="43"/>
        <v>0</v>
      </c>
      <c r="F205" s="505">
        <v>22.9</v>
      </c>
      <c r="G205" s="506">
        <f t="shared" si="44"/>
        <v>0</v>
      </c>
      <c r="H205" s="505">
        <v>5.57</v>
      </c>
      <c r="I205" s="506">
        <f t="shared" si="45"/>
        <v>0</v>
      </c>
      <c r="J205" s="505">
        <v>3</v>
      </c>
      <c r="K205" s="506">
        <f t="shared" si="46"/>
        <v>0</v>
      </c>
      <c r="L205" s="505">
        <v>149</v>
      </c>
      <c r="M205" s="506">
        <f t="shared" si="47"/>
        <v>0</v>
      </c>
      <c r="N205" s="505">
        <v>234</v>
      </c>
      <c r="O205" s="506">
        <f t="shared" si="48"/>
        <v>0</v>
      </c>
      <c r="P205" s="505">
        <v>130</v>
      </c>
      <c r="Q205" s="506">
        <f t="shared" si="49"/>
        <v>0</v>
      </c>
      <c r="R205" s="505">
        <v>0.13</v>
      </c>
      <c r="S205" s="506">
        <f t="shared" si="50"/>
        <v>0</v>
      </c>
      <c r="T205" s="505">
        <v>0.11</v>
      </c>
      <c r="U205" s="506">
        <f t="shared" si="51"/>
        <v>0</v>
      </c>
      <c r="V205" s="505">
        <v>0.6</v>
      </c>
      <c r="W205" s="506">
        <f t="shared" si="52"/>
        <v>0</v>
      </c>
      <c r="X205" s="505">
        <v>0.12</v>
      </c>
      <c r="Y205" s="506">
        <f t="shared" si="53"/>
        <v>0</v>
      </c>
      <c r="Z205" s="505">
        <v>0</v>
      </c>
      <c r="AA205" s="506">
        <f t="shared" si="54"/>
        <v>0</v>
      </c>
      <c r="AB205" s="505">
        <v>0</v>
      </c>
      <c r="AC205" s="506">
        <f t="shared" si="55"/>
        <v>0</v>
      </c>
      <c r="AD205" s="507" t="s">
        <v>574</v>
      </c>
    </row>
    <row r="206" spans="1:30" ht="13.5" thickBot="1" x14ac:dyDescent="0.25">
      <c r="A206" s="502" t="s">
        <v>610</v>
      </c>
      <c r="B206" s="508"/>
      <c r="C206" s="504">
        <v>100</v>
      </c>
      <c r="D206" s="505">
        <v>2</v>
      </c>
      <c r="E206" s="506">
        <f t="shared" si="43"/>
        <v>0</v>
      </c>
      <c r="F206" s="505">
        <v>25.8</v>
      </c>
      <c r="G206" s="506">
        <f t="shared" si="44"/>
        <v>0</v>
      </c>
      <c r="H206" s="505">
        <v>10.25</v>
      </c>
      <c r="I206" s="506">
        <f t="shared" si="45"/>
        <v>0</v>
      </c>
      <c r="J206" s="505">
        <v>1.3</v>
      </c>
      <c r="K206" s="506">
        <f t="shared" si="46"/>
        <v>0</v>
      </c>
      <c r="L206" s="505">
        <v>32</v>
      </c>
      <c r="M206" s="506">
        <f t="shared" si="47"/>
        <v>0</v>
      </c>
      <c r="N206" s="505">
        <v>84</v>
      </c>
      <c r="O206" s="506">
        <f t="shared" si="48"/>
        <v>0</v>
      </c>
      <c r="P206" s="505">
        <v>154</v>
      </c>
      <c r="Q206" s="506">
        <f t="shared" si="49"/>
        <v>0</v>
      </c>
      <c r="R206" s="505">
        <v>0.15</v>
      </c>
      <c r="S206" s="506">
        <f t="shared" si="50"/>
        <v>0</v>
      </c>
      <c r="T206" s="505">
        <v>0.06</v>
      </c>
      <c r="U206" s="506">
        <f t="shared" si="51"/>
        <v>0</v>
      </c>
      <c r="V206" s="505">
        <v>0.6</v>
      </c>
      <c r="W206" s="506">
        <f t="shared" si="52"/>
        <v>0</v>
      </c>
      <c r="X206" s="505">
        <v>0.11</v>
      </c>
      <c r="Y206" s="506">
        <f t="shared" si="53"/>
        <v>0</v>
      </c>
      <c r="Z206" s="505">
        <v>0</v>
      </c>
      <c r="AA206" s="506">
        <f t="shared" si="54"/>
        <v>0</v>
      </c>
      <c r="AB206" s="505">
        <v>0</v>
      </c>
      <c r="AC206" s="506">
        <f t="shared" si="55"/>
        <v>0</v>
      </c>
      <c r="AD206" s="507" t="s">
        <v>574</v>
      </c>
    </row>
    <row r="207" spans="1:30" ht="13.5" thickBot="1" x14ac:dyDescent="0.25">
      <c r="A207" s="502" t="s">
        <v>611</v>
      </c>
      <c r="B207" s="508"/>
      <c r="C207" s="504">
        <v>100</v>
      </c>
      <c r="D207" s="505">
        <v>0</v>
      </c>
      <c r="E207" s="506">
        <f t="shared" si="43"/>
        <v>0</v>
      </c>
      <c r="F207" s="505">
        <v>0.9</v>
      </c>
      <c r="G207" s="506">
        <f t="shared" si="44"/>
        <v>0</v>
      </c>
      <c r="H207" s="505">
        <v>15.77</v>
      </c>
      <c r="I207" s="506">
        <f t="shared" si="45"/>
        <v>0</v>
      </c>
      <c r="J207" s="505">
        <v>1.3</v>
      </c>
      <c r="K207" s="506">
        <f t="shared" si="46"/>
        <v>0</v>
      </c>
      <c r="L207" s="505">
        <v>84</v>
      </c>
      <c r="M207" s="506">
        <f t="shared" si="47"/>
        <v>0</v>
      </c>
      <c r="N207" s="505">
        <v>94</v>
      </c>
      <c r="O207" s="506">
        <f t="shared" si="48"/>
        <v>0</v>
      </c>
      <c r="P207" s="505">
        <v>69</v>
      </c>
      <c r="Q207" s="506">
        <f t="shared" si="49"/>
        <v>0</v>
      </c>
      <c r="R207" s="505">
        <v>0.14000000000000001</v>
      </c>
      <c r="S207" s="506">
        <f t="shared" si="50"/>
        <v>0</v>
      </c>
      <c r="T207" s="505">
        <v>0.02</v>
      </c>
      <c r="U207" s="506">
        <f t="shared" si="51"/>
        <v>0</v>
      </c>
      <c r="V207" s="505">
        <v>1</v>
      </c>
      <c r="W207" s="506">
        <f t="shared" si="52"/>
        <v>0</v>
      </c>
      <c r="X207" s="505">
        <v>7.0000000000000007E-2</v>
      </c>
      <c r="Y207" s="506">
        <f t="shared" si="53"/>
        <v>0</v>
      </c>
      <c r="Z207" s="505">
        <v>2</v>
      </c>
      <c r="AA207" s="506">
        <f t="shared" si="54"/>
        <v>0</v>
      </c>
      <c r="AB207" s="505">
        <v>1</v>
      </c>
      <c r="AC207" s="506">
        <f t="shared" si="55"/>
        <v>0</v>
      </c>
      <c r="AD207" s="507" t="s">
        <v>574</v>
      </c>
    </row>
    <row r="208" spans="1:30" ht="13.5" thickBot="1" x14ac:dyDescent="0.25">
      <c r="A208" s="502" t="s">
        <v>612</v>
      </c>
      <c r="B208" s="508"/>
      <c r="C208" s="504">
        <v>100</v>
      </c>
      <c r="D208" s="505">
        <v>1</v>
      </c>
      <c r="E208" s="506">
        <f t="shared" si="43"/>
        <v>0</v>
      </c>
      <c r="F208" s="505">
        <v>70.400000000000006</v>
      </c>
      <c r="G208" s="506">
        <f t="shared" si="44"/>
        <v>0</v>
      </c>
      <c r="H208" s="505">
        <v>11.24</v>
      </c>
      <c r="I208" s="506">
        <f t="shared" si="45"/>
        <v>0</v>
      </c>
      <c r="J208" s="505">
        <v>0.8</v>
      </c>
      <c r="K208" s="506">
        <f t="shared" si="46"/>
        <v>0</v>
      </c>
      <c r="L208" s="505">
        <v>7</v>
      </c>
      <c r="M208" s="506">
        <f t="shared" si="47"/>
        <v>0</v>
      </c>
      <c r="N208" s="505">
        <v>156</v>
      </c>
      <c r="O208" s="506">
        <f t="shared" si="48"/>
        <v>0</v>
      </c>
      <c r="P208" s="505">
        <v>43</v>
      </c>
      <c r="Q208" s="506">
        <f t="shared" si="49"/>
        <v>0</v>
      </c>
      <c r="R208" s="505">
        <v>0.01</v>
      </c>
      <c r="S208" s="506">
        <f t="shared" si="50"/>
        <v>0</v>
      </c>
      <c r="T208" s="505">
        <v>0.11</v>
      </c>
      <c r="U208" s="506">
        <f t="shared" si="51"/>
        <v>0</v>
      </c>
      <c r="V208" s="505">
        <v>0.1</v>
      </c>
      <c r="W208" s="506">
        <f t="shared" si="52"/>
        <v>0</v>
      </c>
      <c r="X208" s="505">
        <v>0.1</v>
      </c>
      <c r="Y208" s="506">
        <f t="shared" si="53"/>
        <v>0</v>
      </c>
      <c r="Z208" s="505">
        <v>0</v>
      </c>
      <c r="AA208" s="506">
        <f t="shared" si="54"/>
        <v>0</v>
      </c>
      <c r="AB208" s="505">
        <v>0</v>
      </c>
      <c r="AC208" s="506">
        <f t="shared" si="55"/>
        <v>0</v>
      </c>
      <c r="AD208" s="507" t="s">
        <v>574</v>
      </c>
    </row>
    <row r="209" spans="1:30" ht="13.5" thickBot="1" x14ac:dyDescent="0.25">
      <c r="A209" s="502" t="s">
        <v>613</v>
      </c>
      <c r="B209" s="508"/>
      <c r="C209" s="504">
        <v>100</v>
      </c>
      <c r="D209" s="505">
        <v>0</v>
      </c>
      <c r="E209" s="506">
        <f t="shared" si="43"/>
        <v>0</v>
      </c>
      <c r="F209" s="505">
        <v>22.9</v>
      </c>
      <c r="G209" s="506">
        <f t="shared" si="44"/>
        <v>0</v>
      </c>
      <c r="H209" s="505">
        <v>0</v>
      </c>
      <c r="I209" s="506">
        <f t="shared" si="45"/>
        <v>0</v>
      </c>
      <c r="J209" s="505">
        <v>0.4</v>
      </c>
      <c r="K209" s="506">
        <f t="shared" si="46"/>
        <v>0</v>
      </c>
      <c r="L209" s="505">
        <v>4</v>
      </c>
      <c r="M209" s="506">
        <f t="shared" si="47"/>
        <v>0</v>
      </c>
      <c r="N209" s="505">
        <v>150</v>
      </c>
      <c r="O209" s="506">
        <f t="shared" si="48"/>
        <v>0</v>
      </c>
      <c r="P209" s="505">
        <v>10</v>
      </c>
      <c r="Q209" s="506">
        <f t="shared" si="49"/>
        <v>0</v>
      </c>
      <c r="R209" s="505">
        <v>0.01</v>
      </c>
      <c r="S209" s="506">
        <f t="shared" si="50"/>
        <v>0</v>
      </c>
      <c r="T209" s="505">
        <v>0.02</v>
      </c>
      <c r="U209" s="506">
        <f t="shared" si="51"/>
        <v>0</v>
      </c>
      <c r="V209" s="505">
        <v>0.6</v>
      </c>
      <c r="W209" s="506">
        <f t="shared" si="52"/>
        <v>0</v>
      </c>
      <c r="X209" s="505">
        <v>0.02</v>
      </c>
      <c r="Y209" s="506">
        <f t="shared" si="53"/>
        <v>0</v>
      </c>
      <c r="Z209" s="505">
        <v>4</v>
      </c>
      <c r="AA209" s="506">
        <f t="shared" si="54"/>
        <v>0</v>
      </c>
      <c r="AB209" s="505">
        <v>0</v>
      </c>
      <c r="AC209" s="506">
        <f t="shared" si="55"/>
        <v>0</v>
      </c>
      <c r="AD209" s="507" t="s">
        <v>574</v>
      </c>
    </row>
    <row r="210" spans="1:30" ht="13.5" thickBot="1" x14ac:dyDescent="0.25">
      <c r="A210" s="502" t="s">
        <v>614</v>
      </c>
      <c r="B210" s="508"/>
      <c r="C210" s="504">
        <v>100</v>
      </c>
      <c r="D210" s="505">
        <v>0</v>
      </c>
      <c r="E210" s="506">
        <f t="shared" si="43"/>
        <v>0</v>
      </c>
      <c r="F210" s="505">
        <v>5.8</v>
      </c>
      <c r="G210" s="506">
        <f t="shared" si="44"/>
        <v>0</v>
      </c>
      <c r="H210" s="505">
        <v>0</v>
      </c>
      <c r="I210" s="506">
        <f t="shared" si="45"/>
        <v>0</v>
      </c>
      <c r="J210" s="505">
        <v>2</v>
      </c>
      <c r="K210" s="506">
        <f t="shared" si="46"/>
        <v>0</v>
      </c>
      <c r="L210" s="505">
        <v>5</v>
      </c>
      <c r="M210" s="506">
        <f t="shared" si="47"/>
        <v>0</v>
      </c>
      <c r="N210" s="505">
        <v>15</v>
      </c>
      <c r="O210" s="506">
        <f t="shared" si="48"/>
        <v>0</v>
      </c>
      <c r="P210" s="505">
        <v>2</v>
      </c>
      <c r="Q210" s="506">
        <f t="shared" si="49"/>
        <v>0</v>
      </c>
      <c r="R210" s="505">
        <v>2</v>
      </c>
      <c r="S210" s="506">
        <f t="shared" si="50"/>
        <v>0</v>
      </c>
      <c r="T210" s="505">
        <v>2</v>
      </c>
      <c r="U210" s="506">
        <f t="shared" si="51"/>
        <v>0</v>
      </c>
      <c r="V210" s="505">
        <v>2</v>
      </c>
      <c r="W210" s="506">
        <f t="shared" si="52"/>
        <v>0</v>
      </c>
      <c r="X210" s="505">
        <v>2</v>
      </c>
      <c r="Y210" s="506">
        <f t="shared" si="53"/>
        <v>0</v>
      </c>
      <c r="Z210" s="505">
        <v>2</v>
      </c>
      <c r="AA210" s="506">
        <f t="shared" si="54"/>
        <v>0</v>
      </c>
      <c r="AB210" s="505">
        <v>0</v>
      </c>
      <c r="AC210" s="506">
        <f t="shared" si="55"/>
        <v>0</v>
      </c>
      <c r="AD210" s="507" t="s">
        <v>574</v>
      </c>
    </row>
    <row r="211" spans="1:30" ht="13.5" thickBot="1" x14ac:dyDescent="0.25">
      <c r="A211" s="502" t="s">
        <v>615</v>
      </c>
      <c r="B211" s="508"/>
      <c r="C211" s="504">
        <v>100</v>
      </c>
      <c r="D211" s="505">
        <v>7</v>
      </c>
      <c r="E211" s="506">
        <f t="shared" si="43"/>
        <v>0</v>
      </c>
      <c r="F211" s="505">
        <v>21.1</v>
      </c>
      <c r="G211" s="506">
        <f t="shared" si="44"/>
        <v>0</v>
      </c>
      <c r="H211" s="505">
        <v>14.32</v>
      </c>
      <c r="I211" s="506">
        <f t="shared" si="45"/>
        <v>0</v>
      </c>
      <c r="J211" s="505">
        <v>4.5999999999999996</v>
      </c>
      <c r="K211" s="506">
        <f t="shared" si="46"/>
        <v>0</v>
      </c>
      <c r="L211" s="505">
        <v>55</v>
      </c>
      <c r="M211" s="506">
        <f t="shared" si="47"/>
        <v>0</v>
      </c>
      <c r="N211" s="505">
        <v>460</v>
      </c>
      <c r="O211" s="506">
        <f t="shared" si="48"/>
        <v>15</v>
      </c>
      <c r="P211" s="505">
        <v>288</v>
      </c>
      <c r="Q211" s="506">
        <f t="shared" si="49"/>
        <v>0</v>
      </c>
      <c r="R211" s="505">
        <v>7.0000000000000007E-2</v>
      </c>
      <c r="S211" s="506">
        <f t="shared" si="50"/>
        <v>0</v>
      </c>
      <c r="T211" s="505">
        <v>0.23</v>
      </c>
      <c r="U211" s="506">
        <f t="shared" si="51"/>
        <v>0</v>
      </c>
      <c r="V211" s="505">
        <v>0.6</v>
      </c>
      <c r="W211" s="506">
        <f t="shared" si="52"/>
        <v>0</v>
      </c>
      <c r="X211" s="505">
        <v>7.0000000000000007E-2</v>
      </c>
      <c r="Y211" s="506">
        <f t="shared" si="53"/>
        <v>0</v>
      </c>
      <c r="Z211" s="505">
        <v>0</v>
      </c>
      <c r="AA211" s="506">
        <f t="shared" si="54"/>
        <v>0</v>
      </c>
      <c r="AB211" s="505">
        <v>0</v>
      </c>
      <c r="AC211" s="506">
        <f t="shared" si="55"/>
        <v>0</v>
      </c>
      <c r="AD211" s="507" t="s">
        <v>574</v>
      </c>
    </row>
    <row r="212" spans="1:30" ht="13.5" thickBot="1" x14ac:dyDescent="0.25">
      <c r="A212" s="502" t="s">
        <v>616</v>
      </c>
      <c r="B212" s="508">
        <v>100</v>
      </c>
      <c r="C212" s="504">
        <v>100</v>
      </c>
      <c r="D212" s="505">
        <v>2</v>
      </c>
      <c r="E212" s="506">
        <f t="shared" si="43"/>
        <v>2</v>
      </c>
      <c r="F212" s="505">
        <v>27.6</v>
      </c>
      <c r="G212" s="506">
        <f t="shared" si="44"/>
        <v>27.6</v>
      </c>
      <c r="H212" s="505">
        <v>6.97</v>
      </c>
      <c r="I212" s="506">
        <f t="shared" si="45"/>
        <v>6.97</v>
      </c>
      <c r="J212" s="505">
        <v>2</v>
      </c>
      <c r="K212" s="506">
        <f t="shared" si="46"/>
        <v>2</v>
      </c>
      <c r="L212" s="505">
        <v>29</v>
      </c>
      <c r="M212" s="506">
        <f t="shared" si="47"/>
        <v>29</v>
      </c>
      <c r="N212" s="505">
        <v>199</v>
      </c>
      <c r="O212" s="506">
        <f t="shared" si="48"/>
        <v>920</v>
      </c>
      <c r="P212" s="505">
        <v>125</v>
      </c>
      <c r="Q212" s="506">
        <f t="shared" si="49"/>
        <v>125</v>
      </c>
      <c r="R212" s="505">
        <v>0.14000000000000001</v>
      </c>
      <c r="S212" s="506">
        <f t="shared" si="50"/>
        <v>0.14000000000000001</v>
      </c>
      <c r="T212" s="505">
        <v>0.21</v>
      </c>
      <c r="U212" s="506">
        <f t="shared" si="51"/>
        <v>0.21</v>
      </c>
      <c r="V212" s="505">
        <v>1.1000000000000001</v>
      </c>
      <c r="W212" s="506">
        <f t="shared" si="52"/>
        <v>1.1000000000000001</v>
      </c>
      <c r="X212" s="505">
        <v>0.04</v>
      </c>
      <c r="Y212" s="506">
        <f t="shared" si="53"/>
        <v>0.04</v>
      </c>
      <c r="Z212" s="505">
        <v>2</v>
      </c>
      <c r="AA212" s="506">
        <f t="shared" si="54"/>
        <v>2</v>
      </c>
      <c r="AB212" s="505">
        <v>0</v>
      </c>
      <c r="AC212" s="506">
        <f t="shared" si="55"/>
        <v>0</v>
      </c>
      <c r="AD212" s="507" t="s">
        <v>574</v>
      </c>
    </row>
    <row r="213" spans="1:30" ht="13.5" thickBot="1" x14ac:dyDescent="0.25">
      <c r="A213" s="502" t="s">
        <v>617</v>
      </c>
      <c r="B213" s="508">
        <v>200</v>
      </c>
      <c r="C213" s="504">
        <v>100</v>
      </c>
      <c r="D213" s="505">
        <v>6</v>
      </c>
      <c r="E213" s="506">
        <f t="shared" si="43"/>
        <v>12</v>
      </c>
      <c r="F213" s="505">
        <v>34.1</v>
      </c>
      <c r="G213" s="506">
        <f t="shared" si="44"/>
        <v>68.2</v>
      </c>
      <c r="H213" s="505">
        <v>5.12</v>
      </c>
      <c r="I213" s="506">
        <f t="shared" si="45"/>
        <v>10.24</v>
      </c>
      <c r="J213" s="505">
        <v>2.8</v>
      </c>
      <c r="K213" s="506">
        <f t="shared" si="46"/>
        <v>5.6</v>
      </c>
      <c r="L213" s="505">
        <v>9</v>
      </c>
      <c r="M213" s="506">
        <f t="shared" si="47"/>
        <v>18</v>
      </c>
      <c r="N213" s="505">
        <v>82</v>
      </c>
      <c r="O213" s="506">
        <f t="shared" si="48"/>
        <v>995</v>
      </c>
      <c r="P213" s="505">
        <v>121</v>
      </c>
      <c r="Q213" s="506">
        <f t="shared" si="49"/>
        <v>242</v>
      </c>
      <c r="R213" s="505">
        <v>0</v>
      </c>
      <c r="S213" s="506">
        <f t="shared" si="50"/>
        <v>0</v>
      </c>
      <c r="T213" s="505">
        <v>0.12</v>
      </c>
      <c r="U213" s="506">
        <f t="shared" si="51"/>
        <v>0.24</v>
      </c>
      <c r="V213" s="505">
        <v>0.5</v>
      </c>
      <c r="W213" s="506">
        <f t="shared" si="52"/>
        <v>1</v>
      </c>
      <c r="X213" s="505">
        <v>0.06</v>
      </c>
      <c r="Y213" s="506">
        <f t="shared" si="53"/>
        <v>0.12</v>
      </c>
      <c r="Z213" s="505">
        <v>0</v>
      </c>
      <c r="AA213" s="506">
        <f t="shared" si="54"/>
        <v>0</v>
      </c>
      <c r="AB213" s="505">
        <v>2</v>
      </c>
      <c r="AC213" s="506">
        <f t="shared" si="55"/>
        <v>4</v>
      </c>
      <c r="AD213" s="507" t="s">
        <v>574</v>
      </c>
    </row>
    <row r="214" spans="1:30" ht="13.5" thickBot="1" x14ac:dyDescent="0.25">
      <c r="A214" s="502" t="s">
        <v>618</v>
      </c>
      <c r="B214" s="508">
        <v>500</v>
      </c>
      <c r="C214" s="504">
        <v>100</v>
      </c>
      <c r="D214" s="505">
        <v>0</v>
      </c>
      <c r="E214" s="506">
        <f t="shared" si="43"/>
        <v>0</v>
      </c>
      <c r="F214" s="505">
        <v>104.5</v>
      </c>
      <c r="G214" s="506">
        <f t="shared" si="44"/>
        <v>522.5</v>
      </c>
      <c r="H214" s="505">
        <v>0</v>
      </c>
      <c r="I214" s="506">
        <f t="shared" si="45"/>
        <v>0</v>
      </c>
      <c r="J214" s="505">
        <v>0.3</v>
      </c>
      <c r="K214" s="506">
        <f t="shared" si="46"/>
        <v>1.5</v>
      </c>
      <c r="L214" s="505">
        <v>1</v>
      </c>
      <c r="M214" s="506">
        <f t="shared" si="47"/>
        <v>5</v>
      </c>
      <c r="N214" s="505">
        <v>2</v>
      </c>
      <c r="O214" s="506">
        <f t="shared" si="48"/>
        <v>0</v>
      </c>
      <c r="P214" s="505">
        <v>2</v>
      </c>
      <c r="Q214" s="506">
        <f t="shared" si="49"/>
        <v>10</v>
      </c>
      <c r="R214" s="505">
        <v>0</v>
      </c>
      <c r="S214" s="506">
        <f t="shared" si="50"/>
        <v>0</v>
      </c>
      <c r="T214" s="505">
        <v>0</v>
      </c>
      <c r="U214" s="506">
        <f t="shared" si="51"/>
        <v>0</v>
      </c>
      <c r="V214" s="505">
        <v>0</v>
      </c>
      <c r="W214" s="506">
        <f t="shared" si="52"/>
        <v>0</v>
      </c>
      <c r="X214" s="505">
        <v>0</v>
      </c>
      <c r="Y214" s="506">
        <f t="shared" si="53"/>
        <v>0</v>
      </c>
      <c r="Z214" s="505">
        <v>0</v>
      </c>
      <c r="AA214" s="506">
        <f t="shared" si="54"/>
        <v>0</v>
      </c>
      <c r="AB214" s="505">
        <v>0</v>
      </c>
      <c r="AC214" s="506">
        <f t="shared" si="55"/>
        <v>0</v>
      </c>
      <c r="AD214" s="507" t="s">
        <v>574</v>
      </c>
    </row>
    <row r="215" spans="1:30" ht="13.5" thickBot="1" x14ac:dyDescent="0.25">
      <c r="A215" s="502" t="s">
        <v>619</v>
      </c>
      <c r="B215" s="508"/>
      <c r="C215" s="504">
        <v>100</v>
      </c>
      <c r="D215" s="505">
        <v>0</v>
      </c>
      <c r="E215" s="506">
        <f t="shared" si="43"/>
        <v>0</v>
      </c>
      <c r="F215" s="505">
        <v>101.3</v>
      </c>
      <c r="G215" s="506">
        <f t="shared" si="44"/>
        <v>0</v>
      </c>
      <c r="H215" s="505">
        <v>0</v>
      </c>
      <c r="I215" s="506">
        <f t="shared" si="45"/>
        <v>0</v>
      </c>
      <c r="J215" s="505">
        <v>1.7</v>
      </c>
      <c r="K215" s="506">
        <f t="shared" si="46"/>
        <v>0</v>
      </c>
      <c r="L215" s="505">
        <v>56</v>
      </c>
      <c r="M215" s="506">
        <f t="shared" si="47"/>
        <v>0</v>
      </c>
      <c r="N215" s="505">
        <v>140</v>
      </c>
      <c r="O215" s="506">
        <f t="shared" si="48"/>
        <v>16</v>
      </c>
      <c r="P215" s="505">
        <v>4</v>
      </c>
      <c r="Q215" s="506">
        <f t="shared" si="49"/>
        <v>0</v>
      </c>
      <c r="R215" s="505">
        <v>2</v>
      </c>
      <c r="S215" s="506">
        <f t="shared" si="50"/>
        <v>0</v>
      </c>
      <c r="T215" s="505">
        <v>2</v>
      </c>
      <c r="U215" s="506">
        <f t="shared" si="51"/>
        <v>0</v>
      </c>
      <c r="V215" s="505">
        <v>2</v>
      </c>
      <c r="W215" s="506">
        <f t="shared" si="52"/>
        <v>0</v>
      </c>
      <c r="X215" s="505">
        <v>2</v>
      </c>
      <c r="Y215" s="506">
        <f t="shared" si="53"/>
        <v>0</v>
      </c>
      <c r="Z215" s="505">
        <v>0</v>
      </c>
      <c r="AA215" s="506">
        <f t="shared" si="54"/>
        <v>0</v>
      </c>
      <c r="AB215" s="505">
        <v>0</v>
      </c>
      <c r="AC215" s="506">
        <f t="shared" si="55"/>
        <v>0</v>
      </c>
      <c r="AD215" s="507" t="s">
        <v>574</v>
      </c>
    </row>
    <row r="216" spans="1:30" ht="13.5" thickBot="1" x14ac:dyDescent="0.25">
      <c r="A216" s="502" t="s">
        <v>620</v>
      </c>
      <c r="B216" s="508">
        <v>800</v>
      </c>
      <c r="C216" s="504">
        <v>100</v>
      </c>
      <c r="D216" s="505">
        <v>0</v>
      </c>
      <c r="E216" s="506">
        <f t="shared" si="43"/>
        <v>0</v>
      </c>
      <c r="F216" s="505">
        <v>1.1000000000000001</v>
      </c>
      <c r="G216" s="506">
        <f t="shared" si="44"/>
        <v>8.8000000000000007</v>
      </c>
      <c r="H216" s="505">
        <v>48.78</v>
      </c>
      <c r="I216" s="506">
        <f t="shared" si="45"/>
        <v>390.24</v>
      </c>
      <c r="J216" s="505">
        <v>0</v>
      </c>
      <c r="K216" s="506">
        <f t="shared" si="46"/>
        <v>0</v>
      </c>
      <c r="L216" s="505">
        <v>15</v>
      </c>
      <c r="M216" s="506">
        <f t="shared" si="47"/>
        <v>120</v>
      </c>
      <c r="N216" s="505">
        <v>15</v>
      </c>
      <c r="O216" s="506">
        <f t="shared" si="48"/>
        <v>0</v>
      </c>
      <c r="P216" s="505">
        <v>16</v>
      </c>
      <c r="Q216" s="506">
        <f t="shared" si="49"/>
        <v>128</v>
      </c>
      <c r="R216" s="505">
        <v>2</v>
      </c>
      <c r="S216" s="506">
        <f t="shared" si="50"/>
        <v>16</v>
      </c>
      <c r="T216" s="505">
        <v>2</v>
      </c>
      <c r="U216" s="506">
        <f t="shared" si="51"/>
        <v>16</v>
      </c>
      <c r="V216" s="505">
        <v>2</v>
      </c>
      <c r="W216" s="506">
        <f t="shared" si="52"/>
        <v>16</v>
      </c>
      <c r="X216" s="505">
        <v>2</v>
      </c>
      <c r="Y216" s="506">
        <f t="shared" si="53"/>
        <v>16</v>
      </c>
      <c r="Z216" s="505">
        <v>0</v>
      </c>
      <c r="AA216" s="506">
        <f t="shared" si="54"/>
        <v>0</v>
      </c>
      <c r="AB216" s="505">
        <v>0</v>
      </c>
      <c r="AC216" s="506">
        <f t="shared" si="55"/>
        <v>0</v>
      </c>
      <c r="AD216" s="507" t="s">
        <v>621</v>
      </c>
    </row>
    <row r="217" spans="1:30" ht="13.5" thickBot="1" x14ac:dyDescent="0.25">
      <c r="A217" s="502" t="s">
        <v>622</v>
      </c>
      <c r="B217" s="559"/>
      <c r="C217" s="504">
        <v>100</v>
      </c>
      <c r="D217" s="505">
        <v>0</v>
      </c>
      <c r="E217" s="506">
        <f t="shared" si="43"/>
        <v>0</v>
      </c>
      <c r="F217" s="505">
        <v>6.7</v>
      </c>
      <c r="G217" s="506">
        <f t="shared" si="44"/>
        <v>0</v>
      </c>
      <c r="H217" s="505">
        <v>10.62</v>
      </c>
      <c r="I217" s="506">
        <f t="shared" si="45"/>
        <v>0</v>
      </c>
      <c r="J217" s="505">
        <v>2.1</v>
      </c>
      <c r="K217" s="506">
        <f t="shared" si="46"/>
        <v>0</v>
      </c>
      <c r="L217" s="505">
        <v>37</v>
      </c>
      <c r="M217" s="506">
        <f t="shared" si="47"/>
        <v>0</v>
      </c>
      <c r="N217" s="505">
        <v>700</v>
      </c>
      <c r="O217" s="506">
        <f t="shared" si="48"/>
        <v>3</v>
      </c>
      <c r="P217" s="505">
        <v>330</v>
      </c>
      <c r="Q217" s="506">
        <f t="shared" si="49"/>
        <v>0</v>
      </c>
      <c r="R217" s="505">
        <v>0.17</v>
      </c>
      <c r="S217" s="506">
        <f t="shared" si="50"/>
        <v>0</v>
      </c>
      <c r="T217" s="505">
        <v>0.09</v>
      </c>
      <c r="U217" s="506">
        <f t="shared" si="51"/>
        <v>0</v>
      </c>
      <c r="V217" s="505">
        <v>12.5</v>
      </c>
      <c r="W217" s="506">
        <f t="shared" si="52"/>
        <v>0</v>
      </c>
      <c r="X217" s="505">
        <v>0.57999999999999996</v>
      </c>
      <c r="Y217" s="506">
        <f t="shared" si="53"/>
        <v>0</v>
      </c>
      <c r="Z217" s="505">
        <v>0</v>
      </c>
      <c r="AA217" s="506">
        <f t="shared" si="54"/>
        <v>0</v>
      </c>
      <c r="AB217" s="505">
        <v>0</v>
      </c>
      <c r="AC217" s="506">
        <f t="shared" si="55"/>
        <v>0</v>
      </c>
      <c r="AD217" s="507" t="s">
        <v>621</v>
      </c>
    </row>
    <row r="218" spans="1:30" ht="13.5" thickBot="1" x14ac:dyDescent="0.25">
      <c r="A218" s="502" t="s">
        <v>623</v>
      </c>
      <c r="B218" s="559">
        <v>20</v>
      </c>
      <c r="C218" s="504">
        <v>100</v>
      </c>
      <c r="D218" s="505">
        <v>4</v>
      </c>
      <c r="E218" s="506">
        <f t="shared" si="43"/>
        <v>0.8</v>
      </c>
      <c r="F218" s="505">
        <v>2.2000000000000002</v>
      </c>
      <c r="G218" s="506">
        <f t="shared" si="44"/>
        <v>0.44</v>
      </c>
      <c r="H218" s="505">
        <v>8.82</v>
      </c>
      <c r="I218" s="506">
        <f t="shared" si="45"/>
        <v>1.764</v>
      </c>
      <c r="J218" s="505">
        <v>0.5</v>
      </c>
      <c r="K218" s="506">
        <f t="shared" si="46"/>
        <v>0.1</v>
      </c>
      <c r="L218" s="505">
        <v>18</v>
      </c>
      <c r="M218" s="506">
        <f t="shared" si="47"/>
        <v>3.6</v>
      </c>
      <c r="N218" s="505">
        <v>16</v>
      </c>
      <c r="O218" s="506">
        <f t="shared" si="48"/>
        <v>0</v>
      </c>
      <c r="P218" s="505">
        <v>28</v>
      </c>
      <c r="Q218" s="506">
        <f t="shared" si="49"/>
        <v>5.6</v>
      </c>
      <c r="R218" s="505">
        <v>0.02</v>
      </c>
      <c r="S218" s="506">
        <f t="shared" si="50"/>
        <v>4.0000000000000001E-3</v>
      </c>
      <c r="T218" s="505">
        <v>0.04</v>
      </c>
      <c r="U218" s="506">
        <f t="shared" si="51"/>
        <v>8.0000000000000002E-3</v>
      </c>
      <c r="V218" s="505">
        <v>2</v>
      </c>
      <c r="W218" s="506">
        <f t="shared" si="52"/>
        <v>0.4</v>
      </c>
      <c r="X218" s="505">
        <v>0.01</v>
      </c>
      <c r="Y218" s="506">
        <f t="shared" si="53"/>
        <v>2E-3</v>
      </c>
      <c r="Z218" s="505">
        <v>2</v>
      </c>
      <c r="AA218" s="506">
        <f t="shared" si="54"/>
        <v>0.4</v>
      </c>
      <c r="AB218" s="505">
        <v>0</v>
      </c>
      <c r="AC218" s="506">
        <f t="shared" si="55"/>
        <v>0</v>
      </c>
      <c r="AD218" s="507" t="s">
        <v>621</v>
      </c>
    </row>
    <row r="219" spans="1:30" ht="13.5" thickBot="1" x14ac:dyDescent="0.25">
      <c r="A219" s="502" t="s">
        <v>624</v>
      </c>
      <c r="B219" s="559"/>
      <c r="C219" s="504">
        <v>100</v>
      </c>
      <c r="D219" s="505">
        <v>0</v>
      </c>
      <c r="E219" s="506">
        <f t="shared" si="43"/>
        <v>0</v>
      </c>
      <c r="F219" s="505">
        <v>0.4</v>
      </c>
      <c r="G219" s="506">
        <f t="shared" si="44"/>
        <v>0</v>
      </c>
      <c r="H219" s="505">
        <v>26.41</v>
      </c>
      <c r="I219" s="506">
        <f t="shared" si="45"/>
        <v>0</v>
      </c>
      <c r="J219" s="505">
        <v>2</v>
      </c>
      <c r="K219" s="506">
        <f t="shared" si="46"/>
        <v>0</v>
      </c>
      <c r="L219" s="505">
        <v>20</v>
      </c>
      <c r="M219" s="506">
        <f t="shared" si="47"/>
        <v>0</v>
      </c>
      <c r="N219" s="505">
        <v>5</v>
      </c>
      <c r="O219" s="506">
        <f t="shared" si="48"/>
        <v>9.6</v>
      </c>
      <c r="P219" s="505">
        <v>16</v>
      </c>
      <c r="Q219" s="506">
        <f t="shared" si="49"/>
        <v>0</v>
      </c>
      <c r="R219" s="505">
        <v>0</v>
      </c>
      <c r="S219" s="506">
        <f t="shared" si="50"/>
        <v>0</v>
      </c>
      <c r="T219" s="505">
        <v>0</v>
      </c>
      <c r="U219" s="506">
        <f t="shared" si="51"/>
        <v>0</v>
      </c>
      <c r="V219" s="505">
        <v>0</v>
      </c>
      <c r="W219" s="506">
        <f t="shared" si="52"/>
        <v>0</v>
      </c>
      <c r="X219" s="505">
        <v>2</v>
      </c>
      <c r="Y219" s="506">
        <f t="shared" si="53"/>
        <v>0</v>
      </c>
      <c r="Z219" s="505">
        <v>0</v>
      </c>
      <c r="AA219" s="506">
        <f t="shared" si="54"/>
        <v>0</v>
      </c>
      <c r="AB219" s="505">
        <v>0</v>
      </c>
      <c r="AC219" s="506">
        <f t="shared" si="55"/>
        <v>0</v>
      </c>
      <c r="AD219" s="507" t="s">
        <v>621</v>
      </c>
    </row>
    <row r="220" spans="1:30" ht="13.5" thickBot="1" x14ac:dyDescent="0.25">
      <c r="A220" s="502" t="s">
        <v>625</v>
      </c>
      <c r="B220" s="559">
        <v>60</v>
      </c>
      <c r="C220" s="504">
        <v>100</v>
      </c>
      <c r="D220" s="505">
        <v>0</v>
      </c>
      <c r="E220" s="506">
        <f t="shared" si="43"/>
        <v>0</v>
      </c>
      <c r="F220" s="505">
        <v>0</v>
      </c>
      <c r="G220" s="506">
        <f t="shared" si="44"/>
        <v>0</v>
      </c>
      <c r="H220" s="505">
        <v>16.16</v>
      </c>
      <c r="I220" s="506">
        <f t="shared" si="45"/>
        <v>9.6959999999999997</v>
      </c>
      <c r="J220" s="505">
        <v>0</v>
      </c>
      <c r="K220" s="506">
        <f t="shared" si="46"/>
        <v>0</v>
      </c>
      <c r="L220" s="505">
        <v>0</v>
      </c>
      <c r="M220" s="506">
        <f t="shared" si="47"/>
        <v>0</v>
      </c>
      <c r="N220" s="505">
        <v>2</v>
      </c>
      <c r="O220" s="506">
        <f t="shared" si="48"/>
        <v>0</v>
      </c>
      <c r="P220" s="505">
        <v>0</v>
      </c>
      <c r="Q220" s="506">
        <f t="shared" si="49"/>
        <v>0</v>
      </c>
      <c r="R220" s="505">
        <v>0</v>
      </c>
      <c r="S220" s="506">
        <f t="shared" si="50"/>
        <v>0</v>
      </c>
      <c r="T220" s="505">
        <v>0</v>
      </c>
      <c r="U220" s="506">
        <f t="shared" si="51"/>
        <v>0</v>
      </c>
      <c r="V220" s="505">
        <v>0</v>
      </c>
      <c r="W220" s="506">
        <f t="shared" si="52"/>
        <v>0</v>
      </c>
      <c r="X220" s="505">
        <v>2</v>
      </c>
      <c r="Y220" s="506">
        <f t="shared" si="53"/>
        <v>1.2</v>
      </c>
      <c r="Z220" s="505">
        <v>0</v>
      </c>
      <c r="AA220" s="506">
        <f t="shared" si="54"/>
        <v>0</v>
      </c>
      <c r="AB220" s="505">
        <v>0</v>
      </c>
      <c r="AC220" s="506">
        <f t="shared" si="55"/>
        <v>0</v>
      </c>
      <c r="AD220" s="507" t="s">
        <v>621</v>
      </c>
    </row>
    <row r="221" spans="1:30" ht="13.5" thickBot="1" x14ac:dyDescent="0.25">
      <c r="A221" s="502" t="s">
        <v>626</v>
      </c>
      <c r="B221" s="559"/>
      <c r="C221" s="504">
        <v>83</v>
      </c>
      <c r="D221" s="505">
        <v>0</v>
      </c>
      <c r="E221" s="506">
        <f t="shared" si="43"/>
        <v>0</v>
      </c>
      <c r="F221" s="505">
        <v>5</v>
      </c>
      <c r="G221" s="506">
        <f t="shared" si="44"/>
        <v>0</v>
      </c>
      <c r="H221" s="505">
        <v>3.78</v>
      </c>
      <c r="I221" s="506">
        <f t="shared" si="45"/>
        <v>0</v>
      </c>
      <c r="J221" s="505">
        <v>3.5</v>
      </c>
      <c r="K221" s="506">
        <f t="shared" si="46"/>
        <v>0</v>
      </c>
      <c r="L221" s="505">
        <v>70</v>
      </c>
      <c r="M221" s="506">
        <f t="shared" si="47"/>
        <v>0</v>
      </c>
      <c r="N221" s="505">
        <v>287</v>
      </c>
      <c r="O221" s="506">
        <f t="shared" si="48"/>
        <v>0</v>
      </c>
      <c r="P221" s="505">
        <v>25</v>
      </c>
      <c r="Q221" s="506">
        <f t="shared" si="49"/>
        <v>0</v>
      </c>
      <c r="R221" s="505">
        <v>0</v>
      </c>
      <c r="S221" s="506">
        <f t="shared" si="50"/>
        <v>0</v>
      </c>
      <c r="T221" s="505">
        <v>0.1</v>
      </c>
      <c r="U221" s="506">
        <f t="shared" si="51"/>
        <v>0</v>
      </c>
      <c r="V221" s="505">
        <v>1.2</v>
      </c>
      <c r="W221" s="506">
        <f t="shared" si="52"/>
        <v>0</v>
      </c>
      <c r="X221" s="505">
        <v>0.02</v>
      </c>
      <c r="Y221" s="506">
        <f t="shared" si="53"/>
        <v>0</v>
      </c>
      <c r="Z221" s="505">
        <v>20</v>
      </c>
      <c r="AA221" s="506">
        <f t="shared" si="54"/>
        <v>0</v>
      </c>
      <c r="AB221" s="505">
        <v>0</v>
      </c>
      <c r="AC221" s="506">
        <f t="shared" si="55"/>
        <v>0</v>
      </c>
      <c r="AD221" s="507" t="s">
        <v>621</v>
      </c>
    </row>
    <row r="222" spans="1:30" ht="13.5" thickBot="1" x14ac:dyDescent="0.25">
      <c r="A222" s="502" t="s">
        <v>627</v>
      </c>
      <c r="B222" s="559"/>
      <c r="C222" s="504">
        <v>100</v>
      </c>
      <c r="D222" s="505">
        <v>2</v>
      </c>
      <c r="E222" s="506">
        <f t="shared" si="43"/>
        <v>0</v>
      </c>
      <c r="F222" s="505">
        <v>3.4</v>
      </c>
      <c r="G222" s="506">
        <f t="shared" si="44"/>
        <v>0</v>
      </c>
      <c r="H222" s="505">
        <v>20.47</v>
      </c>
      <c r="I222" s="506">
        <f t="shared" si="45"/>
        <v>0</v>
      </c>
      <c r="J222" s="505">
        <v>0</v>
      </c>
      <c r="K222" s="506">
        <f t="shared" si="46"/>
        <v>0</v>
      </c>
      <c r="L222" s="505">
        <v>78</v>
      </c>
      <c r="M222" s="506">
        <f t="shared" si="47"/>
        <v>0</v>
      </c>
      <c r="N222" s="505">
        <v>100</v>
      </c>
      <c r="O222" s="506">
        <f t="shared" si="48"/>
        <v>0</v>
      </c>
      <c r="P222" s="505">
        <v>61</v>
      </c>
      <c r="Q222" s="506">
        <f t="shared" si="49"/>
        <v>0</v>
      </c>
      <c r="R222" s="505">
        <v>0.02</v>
      </c>
      <c r="S222" s="506">
        <f t="shared" si="50"/>
        <v>0</v>
      </c>
      <c r="T222" s="505">
        <v>0.11</v>
      </c>
      <c r="U222" s="506">
        <f t="shared" si="51"/>
        <v>0</v>
      </c>
      <c r="V222" s="505">
        <v>0</v>
      </c>
      <c r="W222" s="506">
        <f t="shared" si="52"/>
        <v>0</v>
      </c>
      <c r="X222" s="505">
        <v>0.04</v>
      </c>
      <c r="Y222" s="506">
        <f t="shared" si="53"/>
        <v>0</v>
      </c>
      <c r="Z222" s="505">
        <v>1</v>
      </c>
      <c r="AA222" s="506">
        <f t="shared" si="54"/>
        <v>0</v>
      </c>
      <c r="AB222" s="505">
        <v>0</v>
      </c>
      <c r="AC222" s="506">
        <f t="shared" si="55"/>
        <v>0</v>
      </c>
      <c r="AD222" s="507" t="s">
        <v>621</v>
      </c>
    </row>
    <row r="223" spans="1:30" ht="13.5" thickBot="1" x14ac:dyDescent="0.25">
      <c r="A223" s="502" t="s">
        <v>628</v>
      </c>
      <c r="B223" s="559"/>
      <c r="C223" s="504">
        <v>100</v>
      </c>
      <c r="D223" s="505">
        <v>0</v>
      </c>
      <c r="E223" s="506">
        <f t="shared" si="43"/>
        <v>0</v>
      </c>
      <c r="F223" s="505">
        <v>2</v>
      </c>
      <c r="G223" s="506">
        <f t="shared" si="44"/>
        <v>0</v>
      </c>
      <c r="H223" s="505">
        <v>15.09</v>
      </c>
      <c r="I223" s="506">
        <f t="shared" si="45"/>
        <v>0</v>
      </c>
      <c r="J223" s="505">
        <v>14.3</v>
      </c>
      <c r="K223" s="506">
        <f t="shared" si="46"/>
        <v>0</v>
      </c>
      <c r="L223" s="505">
        <v>51</v>
      </c>
      <c r="M223" s="506">
        <f t="shared" si="47"/>
        <v>0</v>
      </c>
      <c r="N223" s="505">
        <v>1500</v>
      </c>
      <c r="O223" s="506">
        <f t="shared" si="48"/>
        <v>140</v>
      </c>
      <c r="P223" s="505">
        <v>685</v>
      </c>
      <c r="Q223" s="506">
        <f t="shared" si="49"/>
        <v>0</v>
      </c>
      <c r="R223" s="505">
        <v>0.08</v>
      </c>
      <c r="S223" s="506">
        <f t="shared" si="50"/>
        <v>0</v>
      </c>
      <c r="T223" s="505">
        <v>0.3</v>
      </c>
      <c r="U223" s="506">
        <f t="shared" si="51"/>
        <v>0</v>
      </c>
      <c r="V223" s="505">
        <v>1.7</v>
      </c>
      <c r="W223" s="506">
        <f t="shared" si="52"/>
        <v>0</v>
      </c>
      <c r="X223" s="505">
        <v>7.0000000000000007E-2</v>
      </c>
      <c r="Y223" s="506">
        <f t="shared" si="53"/>
        <v>0</v>
      </c>
      <c r="Z223" s="505">
        <v>0</v>
      </c>
      <c r="AA223" s="506">
        <f t="shared" si="54"/>
        <v>0</v>
      </c>
      <c r="AB223" s="505">
        <v>0</v>
      </c>
      <c r="AC223" s="506">
        <f t="shared" si="55"/>
        <v>0</v>
      </c>
      <c r="AD223" s="507" t="s">
        <v>101</v>
      </c>
    </row>
    <row r="224" spans="1:30" ht="13.5" thickBot="1" x14ac:dyDescent="0.25">
      <c r="A224" s="502" t="s">
        <v>629</v>
      </c>
      <c r="B224" s="559">
        <v>140</v>
      </c>
      <c r="C224" s="504">
        <v>100</v>
      </c>
      <c r="D224" s="505">
        <v>0</v>
      </c>
      <c r="E224" s="506">
        <f t="shared" si="43"/>
        <v>0</v>
      </c>
      <c r="F224" s="505">
        <v>0.6</v>
      </c>
      <c r="G224" s="506">
        <f t="shared" si="44"/>
        <v>0.84</v>
      </c>
      <c r="H224" s="505">
        <v>2</v>
      </c>
      <c r="I224" s="506">
        <f t="shared" si="45"/>
        <v>2.8</v>
      </c>
      <c r="J224" s="505">
        <v>0.2</v>
      </c>
      <c r="K224" s="506">
        <f t="shared" si="46"/>
        <v>0.28000000000000003</v>
      </c>
      <c r="L224" s="505">
        <v>6</v>
      </c>
      <c r="M224" s="506">
        <f t="shared" si="47"/>
        <v>8.4</v>
      </c>
      <c r="N224" s="505">
        <v>251</v>
      </c>
      <c r="O224" s="506">
        <f t="shared" si="48"/>
        <v>0</v>
      </c>
      <c r="P224" s="505">
        <v>17</v>
      </c>
      <c r="Q224" s="506">
        <f t="shared" si="49"/>
        <v>23.8</v>
      </c>
      <c r="R224" s="505">
        <v>2</v>
      </c>
      <c r="S224" s="506">
        <f t="shared" si="50"/>
        <v>2.8</v>
      </c>
      <c r="T224" s="505">
        <v>0.02</v>
      </c>
      <c r="U224" s="506">
        <f t="shared" si="51"/>
        <v>2.8000000000000004E-2</v>
      </c>
      <c r="V224" s="505">
        <v>1.9</v>
      </c>
      <c r="W224" s="506">
        <f t="shared" si="52"/>
        <v>2.66</v>
      </c>
      <c r="X224" s="505">
        <v>2</v>
      </c>
      <c r="Y224" s="506">
        <f t="shared" si="53"/>
        <v>2.8</v>
      </c>
      <c r="Z224" s="505">
        <v>0</v>
      </c>
      <c r="AA224" s="506">
        <f t="shared" si="54"/>
        <v>0</v>
      </c>
      <c r="AB224" s="505">
        <v>0</v>
      </c>
      <c r="AC224" s="506">
        <f t="shared" si="55"/>
        <v>0</v>
      </c>
      <c r="AD224" s="507" t="s">
        <v>101</v>
      </c>
    </row>
    <row r="225" spans="1:30" ht="13.5" thickBot="1" x14ac:dyDescent="0.25">
      <c r="A225" s="502" t="s">
        <v>630</v>
      </c>
      <c r="B225" s="559"/>
      <c r="C225" s="504">
        <v>100</v>
      </c>
      <c r="D225" s="505">
        <v>0</v>
      </c>
      <c r="E225" s="506">
        <f t="shared" si="43"/>
        <v>0</v>
      </c>
      <c r="F225" s="505">
        <v>1</v>
      </c>
      <c r="G225" s="506">
        <f t="shared" si="44"/>
        <v>0</v>
      </c>
      <c r="H225" s="505">
        <v>0.01</v>
      </c>
      <c r="I225" s="506">
        <f t="shared" si="45"/>
        <v>0</v>
      </c>
      <c r="J225" s="505">
        <v>0.1</v>
      </c>
      <c r="K225" s="506">
        <f t="shared" si="46"/>
        <v>0</v>
      </c>
      <c r="L225" s="505">
        <v>3</v>
      </c>
      <c r="M225" s="506">
        <f t="shared" si="47"/>
        <v>0</v>
      </c>
      <c r="N225" s="505">
        <v>24</v>
      </c>
      <c r="O225" s="506">
        <f t="shared" si="48"/>
        <v>0</v>
      </c>
      <c r="P225" s="505">
        <v>7</v>
      </c>
      <c r="Q225" s="506">
        <f t="shared" si="49"/>
        <v>0</v>
      </c>
      <c r="R225" s="505">
        <v>0</v>
      </c>
      <c r="S225" s="506">
        <f t="shared" si="50"/>
        <v>0</v>
      </c>
      <c r="T225" s="505">
        <v>2</v>
      </c>
      <c r="U225" s="506">
        <f t="shared" si="51"/>
        <v>0</v>
      </c>
      <c r="V225" s="505">
        <v>0.2</v>
      </c>
      <c r="W225" s="506">
        <f t="shared" si="52"/>
        <v>0</v>
      </c>
      <c r="X225" s="505">
        <v>0.03</v>
      </c>
      <c r="Y225" s="506">
        <f t="shared" si="53"/>
        <v>0</v>
      </c>
      <c r="Z225" s="505">
        <v>0</v>
      </c>
      <c r="AA225" s="506">
        <f t="shared" si="54"/>
        <v>0</v>
      </c>
      <c r="AB225" s="505">
        <v>0</v>
      </c>
      <c r="AC225" s="506">
        <f t="shared" si="55"/>
        <v>0</v>
      </c>
      <c r="AD225" s="507" t="s">
        <v>101</v>
      </c>
    </row>
    <row r="226" spans="1:30" ht="13.5" thickBot="1" x14ac:dyDescent="0.25">
      <c r="A226" s="502" t="s">
        <v>631</v>
      </c>
      <c r="B226" s="560"/>
      <c r="C226" s="504">
        <v>100</v>
      </c>
      <c r="D226" s="505">
        <v>0</v>
      </c>
      <c r="E226" s="506">
        <f t="shared" si="43"/>
        <v>0</v>
      </c>
      <c r="F226" s="505">
        <v>2</v>
      </c>
      <c r="G226" s="506">
        <f t="shared" si="44"/>
        <v>0</v>
      </c>
      <c r="H226" s="505">
        <v>2</v>
      </c>
      <c r="I226" s="506">
        <f t="shared" si="45"/>
        <v>0</v>
      </c>
      <c r="J226" s="505">
        <v>2</v>
      </c>
      <c r="K226" s="506">
        <f t="shared" si="46"/>
        <v>0</v>
      </c>
      <c r="L226" s="505">
        <v>2</v>
      </c>
      <c r="M226" s="506">
        <f t="shared" si="47"/>
        <v>0</v>
      </c>
      <c r="N226" s="505">
        <v>27</v>
      </c>
      <c r="O226" s="506">
        <f t="shared" si="48"/>
        <v>0</v>
      </c>
      <c r="P226" s="505">
        <v>2</v>
      </c>
      <c r="Q226" s="506">
        <f t="shared" si="49"/>
        <v>0</v>
      </c>
      <c r="R226" s="505">
        <v>2</v>
      </c>
      <c r="S226" s="506">
        <f t="shared" si="50"/>
        <v>0</v>
      </c>
      <c r="T226" s="505">
        <v>0.02</v>
      </c>
      <c r="U226" s="506">
        <f t="shared" si="51"/>
        <v>0</v>
      </c>
      <c r="V226" s="505">
        <v>0</v>
      </c>
      <c r="W226" s="506">
        <f t="shared" si="52"/>
        <v>0</v>
      </c>
      <c r="X226" s="505">
        <v>2</v>
      </c>
      <c r="Y226" s="506">
        <f t="shared" si="53"/>
        <v>0</v>
      </c>
      <c r="Z226" s="505">
        <v>0</v>
      </c>
      <c r="AA226" s="506">
        <f t="shared" si="54"/>
        <v>0</v>
      </c>
      <c r="AB226" s="505">
        <v>0</v>
      </c>
      <c r="AC226" s="506">
        <f t="shared" si="55"/>
        <v>0</v>
      </c>
      <c r="AD226" s="507" t="s">
        <v>101</v>
      </c>
    </row>
    <row r="227" spans="1:30" ht="13.5" thickBot="1" x14ac:dyDescent="0.25">
      <c r="A227" s="510"/>
      <c r="B227" s="511"/>
      <c r="C227" s="511"/>
      <c r="D227" s="512"/>
      <c r="E227" s="513"/>
      <c r="F227" s="512"/>
      <c r="G227" s="514"/>
      <c r="H227" s="515"/>
      <c r="I227" s="513"/>
      <c r="J227" s="512"/>
      <c r="K227" s="514"/>
      <c r="L227" s="515"/>
      <c r="M227" s="514"/>
      <c r="N227" s="549"/>
      <c r="O227" s="515"/>
      <c r="P227" s="515"/>
      <c r="Q227" s="514"/>
      <c r="R227" s="515"/>
      <c r="S227" s="514"/>
      <c r="T227" s="515"/>
      <c r="U227" s="514"/>
      <c r="V227" s="515"/>
      <c r="W227" s="514"/>
      <c r="X227" s="515"/>
      <c r="Y227" s="514"/>
      <c r="Z227" s="515"/>
      <c r="AA227" s="514"/>
      <c r="AB227" s="515"/>
      <c r="AC227" s="511"/>
      <c r="AD227" s="516"/>
    </row>
    <row r="228" spans="1:30" ht="16.5" thickBot="1" x14ac:dyDescent="0.3">
      <c r="A228" s="517" t="s">
        <v>632</v>
      </c>
      <c r="B228" s="518"/>
      <c r="C228" s="518"/>
      <c r="D228" s="519"/>
      <c r="E228" s="520">
        <f>SUM(E2:E227)</f>
        <v>429.63</v>
      </c>
      <c r="F228" s="519"/>
      <c r="G228" s="520">
        <f>SUM(G2:G227)</f>
        <v>2245.645</v>
      </c>
      <c r="H228" s="520"/>
      <c r="I228" s="521">
        <f>SUM(I2:I227)</f>
        <v>1044.6704999999997</v>
      </c>
      <c r="J228" s="522"/>
      <c r="K228" s="522">
        <f>SUM(K2:K227)</f>
        <v>158.84999999999997</v>
      </c>
      <c r="L228" s="522"/>
      <c r="M228" s="522">
        <f>SUM(M2:M227)</f>
        <v>11858.650000000001</v>
      </c>
      <c r="N228" s="522"/>
      <c r="O228" s="522">
        <f t="shared" ref="O228" si="56">SUM(O2:O227)</f>
        <v>41419.150000000009</v>
      </c>
      <c r="P228" s="522"/>
      <c r="Q228" s="522">
        <f>SUM(Q2:Q227)</f>
        <v>13068.949999999999</v>
      </c>
      <c r="R228" s="522"/>
      <c r="S228" s="522">
        <f>SUM(S2:S227)</f>
        <v>30.893500000000003</v>
      </c>
      <c r="T228" s="522"/>
      <c r="U228" s="522">
        <f>SUM(U2:U227)</f>
        <v>31.416499999999999</v>
      </c>
      <c r="V228" s="522"/>
      <c r="W228" s="522">
        <f>SUM(W2:W227)</f>
        <v>150.53899999999999</v>
      </c>
      <c r="X228" s="522"/>
      <c r="Y228" s="522">
        <f>SUM(Y2:Y227)</f>
        <v>37.841500000000003</v>
      </c>
      <c r="Z228" s="522"/>
      <c r="AA228" s="522">
        <f>SUM(AA2:AA227)</f>
        <v>720.7600000000001</v>
      </c>
      <c r="AB228" s="522"/>
      <c r="AC228" s="522">
        <f>SUM(AC2:AC227)</f>
        <v>45.7</v>
      </c>
      <c r="AD228" s="516"/>
    </row>
    <row r="229" spans="1:30" x14ac:dyDescent="0.2">
      <c r="A229" s="510"/>
      <c r="B229" s="511"/>
      <c r="C229" s="511"/>
      <c r="D229" s="512"/>
      <c r="E229" s="513"/>
      <c r="F229" s="512"/>
      <c r="G229" s="514"/>
      <c r="H229" s="515"/>
      <c r="I229" s="513"/>
      <c r="J229" s="512"/>
      <c r="K229" s="514"/>
      <c r="L229" s="515"/>
      <c r="M229" s="514"/>
      <c r="N229" s="549"/>
      <c r="O229" s="522"/>
      <c r="P229" s="515"/>
      <c r="Q229" s="514"/>
      <c r="R229" s="515"/>
      <c r="S229" s="514"/>
      <c r="T229" s="515"/>
      <c r="U229" s="514"/>
      <c r="V229" s="515"/>
      <c r="W229" s="514"/>
      <c r="X229" s="515"/>
      <c r="Y229" s="514"/>
      <c r="Z229" s="515"/>
      <c r="AA229" s="514"/>
      <c r="AB229" s="515"/>
      <c r="AC229" s="511"/>
      <c r="AD229" s="516"/>
    </row>
    <row r="230" spans="1:30" x14ac:dyDescent="0.2">
      <c r="A230" s="695" t="s">
        <v>637</v>
      </c>
      <c r="B230" s="696"/>
      <c r="C230" s="696"/>
      <c r="D230" s="696"/>
      <c r="E230" s="696"/>
      <c r="F230" s="512"/>
      <c r="G230" s="514"/>
      <c r="H230" s="515"/>
      <c r="I230" s="513"/>
      <c r="J230" s="512"/>
      <c r="K230" s="514">
        <v>12</v>
      </c>
      <c r="L230" s="515"/>
      <c r="M230" s="514">
        <v>1200</v>
      </c>
      <c r="N230" s="549"/>
      <c r="O230" s="550">
        <v>3100</v>
      </c>
      <c r="P230" s="515"/>
      <c r="Q230" s="514">
        <v>1200</v>
      </c>
      <c r="R230" s="515"/>
      <c r="S230" s="514">
        <v>1.1000000000000001</v>
      </c>
      <c r="T230" s="515"/>
      <c r="U230" s="514">
        <v>1.4</v>
      </c>
      <c r="V230" s="515"/>
      <c r="W230" s="514">
        <v>15</v>
      </c>
      <c r="X230" s="515"/>
      <c r="Y230" s="514">
        <v>1.3</v>
      </c>
      <c r="Z230" s="515"/>
      <c r="AA230" s="514">
        <v>50</v>
      </c>
      <c r="AB230" s="515"/>
      <c r="AC230" s="523" t="s">
        <v>633</v>
      </c>
      <c r="AD230" s="516"/>
    </row>
    <row r="231" spans="1:30" ht="13.5" thickBot="1" x14ac:dyDescent="0.25">
      <c r="A231" s="697" t="s">
        <v>638</v>
      </c>
      <c r="B231" s="698"/>
      <c r="C231" s="698"/>
      <c r="D231" s="698"/>
      <c r="E231" s="698"/>
      <c r="F231" s="512"/>
      <c r="G231" s="514"/>
      <c r="H231" s="515"/>
      <c r="I231" s="513"/>
      <c r="J231" s="512"/>
      <c r="K231" s="514">
        <f>K230*7</f>
        <v>84</v>
      </c>
      <c r="L231" s="515"/>
      <c r="M231" s="514">
        <f>M230*7</f>
        <v>8400</v>
      </c>
      <c r="N231" s="549"/>
      <c r="O231" s="550">
        <f>O230*7</f>
        <v>21700</v>
      </c>
      <c r="P231" s="515"/>
      <c r="Q231" s="514">
        <f>Q230*7</f>
        <v>8400</v>
      </c>
      <c r="R231" s="514"/>
      <c r="S231" s="514">
        <f t="shared" ref="S231" si="57">S230*7</f>
        <v>7.7000000000000011</v>
      </c>
      <c r="T231" s="514"/>
      <c r="U231" s="514">
        <f t="shared" ref="U231" si="58">U230*7</f>
        <v>9.7999999999999989</v>
      </c>
      <c r="V231" s="514"/>
      <c r="W231" s="514">
        <f t="shared" ref="W231" si="59">W230*7</f>
        <v>105</v>
      </c>
      <c r="X231" s="514"/>
      <c r="Y231" s="514">
        <f t="shared" ref="Y231" si="60">Y230*7</f>
        <v>9.1</v>
      </c>
      <c r="Z231" s="515"/>
      <c r="AA231" s="514">
        <f>AA230*7</f>
        <v>350</v>
      </c>
      <c r="AB231" s="515"/>
      <c r="AC231" s="511"/>
      <c r="AD231" s="516"/>
    </row>
    <row r="232" spans="1:30" ht="15.75" thickBot="1" x14ac:dyDescent="0.25">
      <c r="A232" s="551" t="s">
        <v>634</v>
      </c>
      <c r="B232" s="524"/>
      <c r="C232" s="524"/>
      <c r="D232" s="524"/>
      <c r="E232" s="525"/>
      <c r="F232" s="524"/>
      <c r="G232" s="525"/>
      <c r="H232" s="525"/>
      <c r="I232" s="525"/>
      <c r="J232" s="524"/>
      <c r="K232" s="525">
        <f>K228-K230</f>
        <v>146.84999999999997</v>
      </c>
      <c r="L232" s="525"/>
      <c r="M232" s="525">
        <f t="shared" ref="M232:AA232" si="61">M228-M230</f>
        <v>10658.650000000001</v>
      </c>
      <c r="N232" s="525"/>
      <c r="O232" s="525">
        <f t="shared" si="61"/>
        <v>38319.150000000009</v>
      </c>
      <c r="P232" s="525"/>
      <c r="Q232" s="525">
        <f t="shared" si="61"/>
        <v>11868.949999999999</v>
      </c>
      <c r="R232" s="525"/>
      <c r="S232" s="525">
        <f t="shared" si="61"/>
        <v>29.793500000000002</v>
      </c>
      <c r="T232" s="525"/>
      <c r="U232" s="525">
        <f t="shared" si="61"/>
        <v>30.016500000000001</v>
      </c>
      <c r="V232" s="525"/>
      <c r="W232" s="525">
        <f t="shared" si="61"/>
        <v>135.53899999999999</v>
      </c>
      <c r="X232" s="525"/>
      <c r="Y232" s="525">
        <f t="shared" si="61"/>
        <v>36.541500000000006</v>
      </c>
      <c r="Z232" s="525"/>
      <c r="AA232" s="525">
        <f t="shared" si="61"/>
        <v>670.7600000000001</v>
      </c>
      <c r="AB232" s="525"/>
      <c r="AC232" s="526">
        <f>AC228-15</f>
        <v>30.700000000000003</v>
      </c>
      <c r="AD232" s="516"/>
    </row>
    <row r="233" spans="1:30" ht="15.75" thickBot="1" x14ac:dyDescent="0.25">
      <c r="A233" s="551" t="s">
        <v>635</v>
      </c>
      <c r="B233" s="524"/>
      <c r="C233" s="524"/>
      <c r="D233" s="524"/>
      <c r="E233" s="525"/>
      <c r="F233" s="524"/>
      <c r="G233" s="525"/>
      <c r="H233" s="525"/>
      <c r="I233" s="525"/>
      <c r="J233" s="524"/>
      <c r="K233" s="525">
        <f>K228-K231</f>
        <v>74.849999999999966</v>
      </c>
      <c r="L233" s="525"/>
      <c r="M233" s="525">
        <f t="shared" ref="M233:AA233" si="62">M228-M231</f>
        <v>3458.6500000000015</v>
      </c>
      <c r="N233" s="525"/>
      <c r="O233" s="525">
        <f t="shared" si="62"/>
        <v>19719.150000000009</v>
      </c>
      <c r="P233" s="525"/>
      <c r="Q233" s="525">
        <f t="shared" si="62"/>
        <v>4668.9499999999989</v>
      </c>
      <c r="R233" s="525"/>
      <c r="S233" s="525">
        <f t="shared" si="62"/>
        <v>23.1935</v>
      </c>
      <c r="T233" s="525"/>
      <c r="U233" s="525">
        <f t="shared" si="62"/>
        <v>21.616500000000002</v>
      </c>
      <c r="V233" s="525"/>
      <c r="W233" s="525">
        <f t="shared" si="62"/>
        <v>45.538999999999987</v>
      </c>
      <c r="X233" s="525"/>
      <c r="Y233" s="525">
        <f t="shared" si="62"/>
        <v>28.741500000000002</v>
      </c>
      <c r="Z233" s="525"/>
      <c r="AA233" s="525">
        <f t="shared" si="62"/>
        <v>370.7600000000001</v>
      </c>
      <c r="AB233" s="525"/>
      <c r="AC233" s="526">
        <f>AC229-(15*7)</f>
        <v>-105</v>
      </c>
      <c r="AD233" s="516"/>
    </row>
    <row r="234" spans="1:30" ht="13.5" thickBot="1" x14ac:dyDescent="0.25">
      <c r="A234" s="527"/>
      <c r="B234" s="528"/>
      <c r="C234" s="528"/>
      <c r="D234" s="529"/>
      <c r="E234" s="530"/>
      <c r="F234" s="529"/>
      <c r="G234" s="531"/>
      <c r="H234" s="532"/>
      <c r="I234" s="530"/>
      <c r="J234" s="529"/>
      <c r="K234" s="531"/>
      <c r="L234" s="532"/>
      <c r="M234" s="531"/>
      <c r="N234" s="531"/>
      <c r="O234" s="531"/>
      <c r="P234" s="532"/>
      <c r="Q234" s="531"/>
      <c r="R234" s="532"/>
      <c r="S234" s="531"/>
      <c r="T234" s="532"/>
      <c r="U234" s="531"/>
      <c r="V234" s="532"/>
      <c r="W234" s="531"/>
      <c r="X234" s="532"/>
      <c r="Y234" s="531"/>
      <c r="Z234" s="532"/>
      <c r="AA234" s="531"/>
      <c r="AB234" s="532"/>
      <c r="AC234" s="528"/>
      <c r="AD234" s="533"/>
    </row>
  </sheetData>
  <sheetProtection password="F2E4" sheet="1" objects="1" scenarios="1" selectLockedCells="1"/>
  <mergeCells count="2">
    <mergeCell ref="A230:E230"/>
    <mergeCell ref="A231:E2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topLeftCell="B7" zoomScale="75" zoomScaleNormal="75" workbookViewId="0">
      <selection activeCell="J5" sqref="J5"/>
    </sheetView>
  </sheetViews>
  <sheetFormatPr defaultColWidth="11" defaultRowHeight="12.75" x14ac:dyDescent="0.2"/>
  <cols>
    <col min="1" max="1" width="43.5703125" style="1" customWidth="1"/>
    <col min="2" max="2" width="1" style="1" customWidth="1"/>
    <col min="3" max="3" width="3.140625" style="77" customWidth="1"/>
    <col min="4" max="4" width="9.140625" style="77" customWidth="1"/>
    <col min="5" max="5" width="3.7109375" style="77" customWidth="1"/>
    <col min="6" max="6" width="1" style="78" customWidth="1"/>
    <col min="7" max="7" width="55.5703125" style="1" customWidth="1"/>
    <col min="8" max="8" width="1.85546875" style="489" customWidth="1"/>
    <col min="9" max="9" width="20.42578125" style="1" customWidth="1"/>
    <col min="10" max="10" width="21.7109375" style="1" customWidth="1"/>
    <col min="11" max="11" width="4.85546875" style="1" customWidth="1"/>
    <col min="12" max="12" width="22.28515625" style="1" customWidth="1"/>
    <col min="13" max="14" width="11" style="1"/>
    <col min="15" max="15" width="15.28515625" style="1" customWidth="1"/>
    <col min="16" max="16384" width="11" style="1"/>
  </cols>
  <sheetData>
    <row r="1" spans="1:15" s="4" customFormat="1" ht="54.75" customHeight="1" thickTop="1" thickBot="1" x14ac:dyDescent="0.25">
      <c r="A1" s="718" t="s">
        <v>42</v>
      </c>
      <c r="B1" s="718"/>
      <c r="C1" s="718"/>
      <c r="D1" s="718"/>
      <c r="E1" s="718"/>
      <c r="F1" s="718"/>
      <c r="G1" s="718"/>
      <c r="H1" s="553"/>
      <c r="I1" s="554" t="str">
        <f>Disp_ENERG!B1</f>
        <v xml:space="preserve">menù1 </v>
      </c>
      <c r="J1" s="554"/>
      <c r="K1" s="554"/>
      <c r="L1" s="707" t="s">
        <v>651</v>
      </c>
      <c r="M1" s="708"/>
      <c r="N1" s="708"/>
      <c r="O1" s="709"/>
    </row>
    <row r="2" spans="1:15" ht="15.75" thickTop="1" x14ac:dyDescent="0.2">
      <c r="B2" s="78"/>
      <c r="I2" s="723" t="s">
        <v>674</v>
      </c>
      <c r="J2" s="724"/>
      <c r="L2" s="576" t="s">
        <v>639</v>
      </c>
      <c r="M2" s="556">
        <f>'bilancio-essen'!$E$228</f>
        <v>429.63</v>
      </c>
      <c r="N2" s="703" t="s">
        <v>662</v>
      </c>
      <c r="O2" s="704"/>
    </row>
    <row r="3" spans="1:15" ht="15.75" x14ac:dyDescent="0.25">
      <c r="B3" s="78"/>
      <c r="D3" s="79"/>
      <c r="I3" s="719" t="s">
        <v>44</v>
      </c>
      <c r="J3" s="720"/>
      <c r="L3" s="576" t="s">
        <v>640</v>
      </c>
      <c r="M3" s="557">
        <f>'bilancio-essen'!$G$228</f>
        <v>2245.645</v>
      </c>
      <c r="N3" s="705" t="str">
        <f>IF(M3&lt;60,"NEI LIMITI","ECCESSO")</f>
        <v>ECCESSO</v>
      </c>
      <c r="O3" s="706"/>
    </row>
    <row r="4" spans="1:15" ht="15.75" thickBot="1" x14ac:dyDescent="0.25">
      <c r="B4" s="78"/>
      <c r="D4" s="79"/>
      <c r="I4" s="561"/>
      <c r="J4" s="562"/>
      <c r="L4" s="577" t="s">
        <v>641</v>
      </c>
      <c r="M4" s="557">
        <f>'bilancio-essen'!$I$228</f>
        <v>1044.6704999999997</v>
      </c>
      <c r="N4" s="705" t="str">
        <f>IF(M4&lt;26,"NEI LIMITI","ABBONDANTI")</f>
        <v>ABBONDANTI</v>
      </c>
      <c r="O4" s="706"/>
    </row>
    <row r="5" spans="1:15" ht="16.5" thickBot="1" x14ac:dyDescent="0.3">
      <c r="B5" s="78"/>
      <c r="D5" s="79"/>
      <c r="I5" s="563" t="s">
        <v>343</v>
      </c>
      <c r="J5" s="564">
        <v>53</v>
      </c>
      <c r="L5" s="577" t="s">
        <v>380</v>
      </c>
      <c r="M5" s="557">
        <f>'bilancio-essen'!$K$232</f>
        <v>146.84999999999997</v>
      </c>
      <c r="N5" s="701" t="str">
        <f>IF(M5&lt;0,"CARENZA","ABBONDANZA")</f>
        <v>ABBONDANZA</v>
      </c>
      <c r="O5" s="702"/>
    </row>
    <row r="6" spans="1:15" ht="16.5" thickBot="1" x14ac:dyDescent="0.3">
      <c r="B6" s="78"/>
      <c r="C6" s="80" t="s">
        <v>15</v>
      </c>
      <c r="D6" s="81">
        <f>Disp_ENERG!$K$33</f>
        <v>385.50164976170112</v>
      </c>
      <c r="E6" s="82" t="s">
        <v>12</v>
      </c>
      <c r="I6" s="563" t="s">
        <v>344</v>
      </c>
      <c r="J6" s="565">
        <v>1.55</v>
      </c>
      <c r="L6" s="577" t="s">
        <v>642</v>
      </c>
      <c r="M6" s="557">
        <f>'bilancio-essen'!$M$232</f>
        <v>10658.650000000001</v>
      </c>
      <c r="N6" s="701" t="str">
        <f>IF(M6&lt;0,"CARENZA","ABBONDANZA")</f>
        <v>ABBONDANZA</v>
      </c>
      <c r="O6" s="702"/>
    </row>
    <row r="7" spans="1:15" ht="15.75" x14ac:dyDescent="0.25">
      <c r="B7" s="78"/>
      <c r="C7" s="83" t="s">
        <v>16</v>
      </c>
      <c r="D7" s="84">
        <f>Disp_ENERG!$K$34</f>
        <v>85.610073816760746</v>
      </c>
      <c r="E7" s="85" t="s">
        <v>12</v>
      </c>
      <c r="I7" s="566"/>
      <c r="J7" s="567"/>
      <c r="L7" s="577" t="s">
        <v>643</v>
      </c>
      <c r="M7" s="557">
        <f>'bilancio-essen'!$O$232</f>
        <v>38319.150000000009</v>
      </c>
      <c r="N7" s="701" t="str">
        <f t="shared" ref="N7:N14" si="0">IF(M7&lt;0,"CARENZA","ABBONDANZA")</f>
        <v>ABBONDANZA</v>
      </c>
      <c r="O7" s="702"/>
    </row>
    <row r="8" spans="1:15" ht="16.5" thickBot="1" x14ac:dyDescent="0.3">
      <c r="B8" s="78"/>
      <c r="C8" s="86" t="s">
        <v>17</v>
      </c>
      <c r="D8" s="87">
        <f>Disp_ENERG!$K$35</f>
        <v>96.375412440425279</v>
      </c>
      <c r="E8" s="88" t="s">
        <v>12</v>
      </c>
      <c r="I8" s="566" t="s">
        <v>45</v>
      </c>
      <c r="J8" s="567"/>
      <c r="L8" s="577" t="s">
        <v>644</v>
      </c>
      <c r="M8" s="557">
        <f>'bilancio-essen'!$Q$232</f>
        <v>11868.949999999999</v>
      </c>
      <c r="N8" s="701" t="str">
        <f>IF(M8&lt;-200,"CARENZA",IF(M8&gt;70,"ECCESSO!","QUANTITÀ CORRETTA"))</f>
        <v>ECCESSO!</v>
      </c>
      <c r="O8" s="702"/>
    </row>
    <row r="9" spans="1:15" ht="15" x14ac:dyDescent="0.2">
      <c r="B9" s="78"/>
      <c r="I9" s="566"/>
      <c r="J9" s="567"/>
      <c r="L9" s="577" t="s">
        <v>645</v>
      </c>
      <c r="M9" s="557">
        <f>'bilancio-essen'!$S$232</f>
        <v>29.793500000000002</v>
      </c>
      <c r="N9" s="701" t="str">
        <f>IF(M9&lt;0,"CARENZA","ABBONDANZA")</f>
        <v>ABBONDANZA</v>
      </c>
      <c r="O9" s="702"/>
    </row>
    <row r="10" spans="1:15" ht="18.75" thickBot="1" x14ac:dyDescent="0.3">
      <c r="B10" s="78"/>
      <c r="C10" s="725" t="s">
        <v>657</v>
      </c>
      <c r="D10" s="725"/>
      <c r="E10" s="725"/>
      <c r="I10" s="568" t="s">
        <v>345</v>
      </c>
      <c r="J10" s="569">
        <f>J5/POWER(J6,2)</f>
        <v>22.060353798126947</v>
      </c>
      <c r="L10" s="577" t="s">
        <v>646</v>
      </c>
      <c r="M10" s="557">
        <f>'bilancio-essen'!$U$232</f>
        <v>30.016500000000001</v>
      </c>
      <c r="N10" s="701" t="str">
        <f t="shared" si="0"/>
        <v>ABBONDANZA</v>
      </c>
      <c r="O10" s="702"/>
    </row>
    <row r="11" spans="1:15" ht="16.5" thickBot="1" x14ac:dyDescent="0.3">
      <c r="B11" s="78"/>
      <c r="C11" s="721">
        <f>D6*16.7+D8*16.7+D7*35.6</f>
        <v>11095.065566652193</v>
      </c>
      <c r="D11" s="721"/>
      <c r="E11" s="89" t="s">
        <v>5</v>
      </c>
      <c r="I11" s="570"/>
      <c r="J11" s="571"/>
      <c r="L11" s="577" t="s">
        <v>647</v>
      </c>
      <c r="M11" s="557">
        <f>'bilancio-essen'!$W$232</f>
        <v>135.53899999999999</v>
      </c>
      <c r="N11" s="701" t="str">
        <f t="shared" si="0"/>
        <v>ABBONDANZA</v>
      </c>
      <c r="O11" s="702"/>
    </row>
    <row r="12" spans="1:15" ht="15.75" x14ac:dyDescent="0.25">
      <c r="B12" s="78"/>
      <c r="C12" s="715" t="s">
        <v>692</v>
      </c>
      <c r="D12" s="726"/>
      <c r="E12" s="726"/>
      <c r="I12" s="561" t="s">
        <v>689</v>
      </c>
      <c r="J12" s="572" t="s">
        <v>46</v>
      </c>
      <c r="L12" s="577" t="s">
        <v>648</v>
      </c>
      <c r="M12" s="557">
        <f>'bilancio-essen'!$Y$232</f>
        <v>36.541500000000006</v>
      </c>
      <c r="N12" s="701" t="str">
        <f t="shared" si="0"/>
        <v>ABBONDANZA</v>
      </c>
      <c r="O12" s="702"/>
    </row>
    <row r="13" spans="1:15" ht="15.75" x14ac:dyDescent="0.25">
      <c r="B13" s="78"/>
      <c r="I13" s="566"/>
      <c r="J13" s="573"/>
      <c r="L13" s="577" t="s">
        <v>649</v>
      </c>
      <c r="M13" s="557">
        <f>'bilancio-essen'!$AA$232</f>
        <v>670.7600000000001</v>
      </c>
      <c r="N13" s="701" t="str">
        <f t="shared" si="0"/>
        <v>ABBONDANZA</v>
      </c>
      <c r="O13" s="702"/>
    </row>
    <row r="14" spans="1:15" ht="16.5" thickBot="1" x14ac:dyDescent="0.3">
      <c r="B14" s="78"/>
      <c r="C14" s="725" t="s">
        <v>657</v>
      </c>
      <c r="D14" s="725"/>
      <c r="E14" s="725"/>
      <c r="I14" s="566" t="s">
        <v>690</v>
      </c>
      <c r="J14" s="573" t="s">
        <v>47</v>
      </c>
      <c r="L14" s="577" t="s">
        <v>650</v>
      </c>
      <c r="M14" s="557">
        <f>'bilancio-essen'!$AC$232</f>
        <v>30.700000000000003</v>
      </c>
      <c r="N14" s="701" t="str">
        <f t="shared" si="0"/>
        <v>ABBONDANZA</v>
      </c>
      <c r="O14" s="702"/>
    </row>
    <row r="15" spans="1:15" ht="16.5" thickBot="1" x14ac:dyDescent="0.3">
      <c r="B15" s="78"/>
      <c r="C15" s="721">
        <f>C11*7</f>
        <v>77665.458966565348</v>
      </c>
      <c r="D15" s="721"/>
      <c r="E15" s="89" t="s">
        <v>5</v>
      </c>
      <c r="I15" s="566"/>
      <c r="J15" s="573"/>
      <c r="L15" s="580" t="s">
        <v>144</v>
      </c>
      <c r="M15" s="557">
        <f>colazione!L54+pranzo!L177+merenda!L90+spuntino!L84+cena!L177</f>
        <v>96.08</v>
      </c>
      <c r="N15" s="701" t="str">
        <f>IF(M15&lt;28,"CARENZA","ABBONDANZA")</f>
        <v>ABBONDANZA</v>
      </c>
      <c r="O15" s="702"/>
    </row>
    <row r="16" spans="1:15" ht="16.5" thickBot="1" x14ac:dyDescent="0.3">
      <c r="B16" s="78"/>
      <c r="C16" s="715" t="s">
        <v>693</v>
      </c>
      <c r="D16" s="726"/>
      <c r="E16" s="726"/>
      <c r="I16" s="566"/>
      <c r="J16" s="573"/>
      <c r="L16" s="578" t="s">
        <v>117</v>
      </c>
      <c r="M16" s="579">
        <f>colazione!Q19+pranzo!Q20+merenda!Q16+spuntino!Q20+cena!Q20</f>
        <v>12.382819000000001</v>
      </c>
      <c r="N16" s="699" t="str">
        <f>IF(M16&lt;2,"CARENZA","ABBONDANZA")</f>
        <v>ABBONDANZA</v>
      </c>
      <c r="O16" s="700"/>
    </row>
    <row r="17" spans="1:15" ht="17.25" thickTop="1" thickBot="1" x14ac:dyDescent="0.3">
      <c r="B17" s="78"/>
      <c r="I17" s="566" t="s">
        <v>691</v>
      </c>
      <c r="J17" s="573" t="s">
        <v>675</v>
      </c>
    </row>
    <row r="18" spans="1:15" ht="58.5" customHeight="1" thickTop="1" x14ac:dyDescent="0.25">
      <c r="A18" s="95" t="s">
        <v>43</v>
      </c>
      <c r="B18" s="78"/>
      <c r="G18" s="93" t="s">
        <v>51</v>
      </c>
      <c r="I18" s="566" t="s">
        <v>688</v>
      </c>
      <c r="J18" s="573" t="s">
        <v>53</v>
      </c>
      <c r="L18" s="710" t="s">
        <v>652</v>
      </c>
      <c r="M18" s="711"/>
      <c r="N18" s="711"/>
      <c r="O18" s="712"/>
    </row>
    <row r="19" spans="1:15" ht="15.75" x14ac:dyDescent="0.25">
      <c r="B19" s="78"/>
      <c r="I19" s="566"/>
      <c r="J19" s="573"/>
      <c r="L19" s="576" t="s">
        <v>639</v>
      </c>
      <c r="M19" s="556">
        <f>'bilancio-essen'!$E$228</f>
        <v>429.63</v>
      </c>
      <c r="N19" s="703" t="s">
        <v>663</v>
      </c>
      <c r="O19" s="704"/>
    </row>
    <row r="20" spans="1:15" ht="15.75" x14ac:dyDescent="0.25">
      <c r="B20" s="78"/>
      <c r="I20" s="566" t="s">
        <v>677</v>
      </c>
      <c r="J20" s="573" t="s">
        <v>48</v>
      </c>
      <c r="L20" s="576" t="s">
        <v>640</v>
      </c>
      <c r="M20" s="557">
        <f>'bilancio-essen'!$G$228</f>
        <v>2245.645</v>
      </c>
      <c r="N20" s="705" t="str">
        <f>IF(M20&lt;420,"NEI LIMITI","ECCESSO")</f>
        <v>ECCESSO</v>
      </c>
      <c r="O20" s="706"/>
    </row>
    <row r="21" spans="1:15" ht="15.75" x14ac:dyDescent="0.25">
      <c r="B21" s="78"/>
      <c r="I21" s="566"/>
      <c r="J21" s="573"/>
      <c r="L21" s="577" t="s">
        <v>641</v>
      </c>
      <c r="M21" s="557">
        <f>'bilancio-essen'!$I$228</f>
        <v>1044.6704999999997</v>
      </c>
      <c r="N21" s="705" t="str">
        <f>IF(M21&lt;185,"NEI LIMITI","ABBONDANTI")</f>
        <v>ABBONDANTI</v>
      </c>
      <c r="O21" s="706"/>
    </row>
    <row r="22" spans="1:15" ht="16.5" thickBot="1" x14ac:dyDescent="0.3">
      <c r="B22" s="78"/>
      <c r="I22" s="574" t="s">
        <v>676</v>
      </c>
      <c r="J22" s="575" t="s">
        <v>49</v>
      </c>
      <c r="L22" s="577" t="s">
        <v>380</v>
      </c>
      <c r="M22" s="557">
        <f>'bilancio-essen'!$K$233</f>
        <v>74.849999999999966</v>
      </c>
      <c r="N22" s="701" t="str">
        <f>IF(M22&lt;0,"CARENZA","ABBONDANZA")</f>
        <v>ABBONDANZA</v>
      </c>
      <c r="O22" s="702"/>
    </row>
    <row r="23" spans="1:15" ht="14.25" thickTop="1" thickBot="1" x14ac:dyDescent="0.25">
      <c r="B23" s="78"/>
      <c r="I23" s="722" t="s">
        <v>373</v>
      </c>
      <c r="J23" s="722"/>
      <c r="L23" s="577" t="s">
        <v>642</v>
      </c>
      <c r="M23" s="557">
        <f>'bilancio-essen'!$M$233</f>
        <v>3458.6500000000015</v>
      </c>
      <c r="N23" s="701" t="str">
        <f>IF(M23&lt;0,"CARENZA","ABBONDANZA")</f>
        <v>ABBONDANZA</v>
      </c>
      <c r="O23" s="702"/>
    </row>
    <row r="24" spans="1:15" ht="20.25" customHeight="1" x14ac:dyDescent="0.25">
      <c r="B24" s="78"/>
      <c r="C24" s="80" t="s">
        <v>8</v>
      </c>
      <c r="D24" s="81">
        <f>colazione!H54+pranzo!$H$177+merenda!$H$90+spuntino!$H$84+cena!$H$177</f>
        <v>4395.78</v>
      </c>
      <c r="E24" s="82" t="s">
        <v>12</v>
      </c>
      <c r="I24" s="722"/>
      <c r="J24" s="722"/>
      <c r="L24" s="577" t="s">
        <v>643</v>
      </c>
      <c r="M24" s="557">
        <f>'bilancio-essen'!$O$233</f>
        <v>19719.150000000009</v>
      </c>
      <c r="N24" s="701" t="str">
        <f t="shared" ref="N24:N31" si="1">IF(M24&lt;0,"CARENZA","ABBONDANZA")</f>
        <v>ABBONDANZA</v>
      </c>
      <c r="O24" s="702"/>
    </row>
    <row r="25" spans="1:15" ht="15.75" x14ac:dyDescent="0.25">
      <c r="B25" s="78"/>
      <c r="C25" s="83" t="s">
        <v>9</v>
      </c>
      <c r="D25" s="84">
        <f>colazione!I54+pranzo!$I$177+merenda!$I$90+cena!$I$177</f>
        <v>1006.376</v>
      </c>
      <c r="E25" s="85" t="s">
        <v>12</v>
      </c>
      <c r="L25" s="577" t="s">
        <v>644</v>
      </c>
      <c r="M25" s="557">
        <f>'bilancio-essen'!$Q$233</f>
        <v>4668.9499999999989</v>
      </c>
      <c r="N25" s="701" t="str">
        <f>IF(M25&lt;-1400,"CARENZA",IF(M8&gt;500,"ECCESSO!","QUANTITÀ CORRETTA"))</f>
        <v>ECCESSO!</v>
      </c>
      <c r="O25" s="702"/>
    </row>
    <row r="26" spans="1:15" ht="16.5" thickBot="1" x14ac:dyDescent="0.3">
      <c r="B26" s="78"/>
      <c r="C26" s="86" t="s">
        <v>10</v>
      </c>
      <c r="D26" s="87">
        <f>colazione!J54+pranzo!$J$177+merenda!$J$90+spuntino!$J$84+cena!$J$177</f>
        <v>738.20999999999992</v>
      </c>
      <c r="E26" s="88" t="s">
        <v>12</v>
      </c>
      <c r="L26" s="577" t="s">
        <v>645</v>
      </c>
      <c r="M26" s="557">
        <f>'bilancio-essen'!$S$233</f>
        <v>23.1935</v>
      </c>
      <c r="N26" s="701" t="str">
        <f t="shared" si="1"/>
        <v>ABBONDANZA</v>
      </c>
      <c r="O26" s="702"/>
    </row>
    <row r="27" spans="1:15" x14ac:dyDescent="0.2">
      <c r="B27" s="78"/>
      <c r="L27" s="577" t="s">
        <v>646</v>
      </c>
      <c r="M27" s="557">
        <f>'bilancio-essen'!$U$233</f>
        <v>21.616500000000002</v>
      </c>
      <c r="N27" s="701" t="str">
        <f t="shared" si="1"/>
        <v>ABBONDANZA</v>
      </c>
      <c r="O27" s="702"/>
    </row>
    <row r="28" spans="1:15" ht="13.5" thickBot="1" x14ac:dyDescent="0.25">
      <c r="B28" s="78"/>
      <c r="C28" s="77" t="s">
        <v>658</v>
      </c>
      <c r="J28" s="552"/>
      <c r="K28" s="552"/>
      <c r="L28" s="577" t="s">
        <v>647</v>
      </c>
      <c r="M28" s="557">
        <f>'bilancio-essen'!$W$233</f>
        <v>45.538999999999987</v>
      </c>
      <c r="N28" s="701" t="str">
        <f t="shared" si="1"/>
        <v>ABBONDANZA</v>
      </c>
      <c r="O28" s="702"/>
    </row>
    <row r="29" spans="1:15" ht="16.5" thickBot="1" x14ac:dyDescent="0.3">
      <c r="B29" s="78"/>
      <c r="C29" s="713">
        <f>cena!Q25+cena!Q26+cena!Q27+cena!Q28+cena!Q29</f>
        <v>126712.83459999999</v>
      </c>
      <c r="D29" s="713"/>
      <c r="E29" s="622" t="s">
        <v>5</v>
      </c>
      <c r="J29" s="552"/>
      <c r="K29" s="552"/>
      <c r="L29" s="577" t="s">
        <v>648</v>
      </c>
      <c r="M29" s="557">
        <f>'bilancio-essen'!$Y$233</f>
        <v>28.741500000000002</v>
      </c>
      <c r="N29" s="701" t="str">
        <f t="shared" si="1"/>
        <v>ABBONDANZA</v>
      </c>
      <c r="O29" s="702"/>
    </row>
    <row r="30" spans="1:15" x14ac:dyDescent="0.2">
      <c r="B30" s="78"/>
      <c r="C30" s="715" t="s">
        <v>692</v>
      </c>
      <c r="D30" s="715"/>
      <c r="E30" s="715"/>
      <c r="J30" s="552"/>
      <c r="K30" s="552"/>
      <c r="L30" s="577" t="s">
        <v>649</v>
      </c>
      <c r="M30" s="557">
        <f>'bilancio-essen'!$AA$233</f>
        <v>370.7600000000001</v>
      </c>
      <c r="N30" s="701" t="str">
        <f t="shared" si="1"/>
        <v>ABBONDANZA</v>
      </c>
      <c r="O30" s="702"/>
    </row>
    <row r="31" spans="1:15" x14ac:dyDescent="0.2">
      <c r="B31" s="78"/>
      <c r="J31" s="552"/>
      <c r="K31" s="552"/>
      <c r="L31" s="577" t="s">
        <v>650</v>
      </c>
      <c r="M31" s="557">
        <f>'bilancio-essen'!$AC$233</f>
        <v>-105</v>
      </c>
      <c r="N31" s="701" t="str">
        <f t="shared" si="1"/>
        <v>CARENZA</v>
      </c>
      <c r="O31" s="702"/>
    </row>
    <row r="32" spans="1:15" ht="13.5" thickBot="1" x14ac:dyDescent="0.25">
      <c r="B32" s="78"/>
      <c r="C32" s="77" t="s">
        <v>658</v>
      </c>
      <c r="J32" s="552"/>
      <c r="K32" s="552"/>
      <c r="L32" s="580" t="s">
        <v>144</v>
      </c>
      <c r="M32" s="557">
        <f>colazione!L54+pranzo!L177+merenda!L90+spuntino!L84+cena!L177</f>
        <v>96.08</v>
      </c>
      <c r="N32" s="701" t="str">
        <f>IF(M15&lt;200,"CARENZA","ABBONDANZA")</f>
        <v>CARENZA</v>
      </c>
      <c r="O32" s="702"/>
    </row>
    <row r="33" spans="1:15" ht="16.5" thickBot="1" x14ac:dyDescent="0.3">
      <c r="B33" s="78"/>
      <c r="C33" s="713">
        <f>cena!Q25+cena!Q26+cena!Q27+cena!Q28+cena!Q29</f>
        <v>126712.83459999999</v>
      </c>
      <c r="D33" s="714"/>
      <c r="E33" s="622" t="s">
        <v>5</v>
      </c>
      <c r="L33" s="578" t="s">
        <v>117</v>
      </c>
      <c r="M33" s="579">
        <f>colazione!Q19+pranzo!Q20+merenda!Q16+spuntino!Q20+cena!Q20</f>
        <v>12.382819000000001</v>
      </c>
      <c r="N33" s="699" t="str">
        <f>IF(M33&lt;28,"CARENZA","ABBONDANZA")</f>
        <v>CARENZA</v>
      </c>
      <c r="O33" s="700"/>
    </row>
    <row r="34" spans="1:15" ht="74.650000000000006" customHeight="1" thickBot="1" x14ac:dyDescent="0.3">
      <c r="A34" s="94" t="s">
        <v>52</v>
      </c>
      <c r="B34" s="78"/>
      <c r="C34" s="716" t="s">
        <v>693</v>
      </c>
      <c r="D34" s="717"/>
      <c r="E34" s="717"/>
      <c r="G34" s="93" t="s">
        <v>50</v>
      </c>
    </row>
    <row r="35" spans="1:15" ht="6" customHeight="1" x14ac:dyDescent="0.2">
      <c r="A35" s="78"/>
      <c r="B35" s="78"/>
      <c r="C35" s="78"/>
      <c r="D35" s="78"/>
      <c r="E35" s="78"/>
      <c r="G35" s="78"/>
      <c r="L35" s="4"/>
      <c r="M35" s="4"/>
      <c r="N35" s="4"/>
      <c r="O35" s="4"/>
    </row>
    <row r="36" spans="1:15" s="4" customFormat="1" x14ac:dyDescent="0.2">
      <c r="H36" s="490"/>
    </row>
    <row r="37" spans="1:15" s="4" customFormat="1" x14ac:dyDescent="0.2">
      <c r="H37" s="490"/>
    </row>
    <row r="38" spans="1:15" s="4" customFormat="1" x14ac:dyDescent="0.2">
      <c r="H38" s="490"/>
    </row>
    <row r="39" spans="1:15" s="4" customFormat="1" x14ac:dyDescent="0.2">
      <c r="H39" s="490"/>
    </row>
    <row r="40" spans="1:15" s="4" customFormat="1" x14ac:dyDescent="0.2">
      <c r="H40" s="490"/>
    </row>
    <row r="41" spans="1:15" s="4" customFormat="1" x14ac:dyDescent="0.2">
      <c r="H41" s="490"/>
    </row>
    <row r="42" spans="1:15" s="4" customFormat="1" x14ac:dyDescent="0.2">
      <c r="H42" s="490"/>
    </row>
    <row r="43" spans="1:15" s="4" customFormat="1" x14ac:dyDescent="0.2">
      <c r="H43" s="490"/>
    </row>
    <row r="44" spans="1:15" s="4" customFormat="1" x14ac:dyDescent="0.2">
      <c r="H44" s="490"/>
    </row>
    <row r="45" spans="1:15" s="4" customFormat="1" x14ac:dyDescent="0.2">
      <c r="H45" s="490"/>
    </row>
    <row r="46" spans="1:15" s="4" customFormat="1" x14ac:dyDescent="0.2">
      <c r="H46" s="490"/>
    </row>
    <row r="47" spans="1:15" s="4" customFormat="1" x14ac:dyDescent="0.2">
      <c r="H47" s="490"/>
    </row>
    <row r="48" spans="1:15" s="4" customFormat="1" x14ac:dyDescent="0.2">
      <c r="H48" s="490"/>
    </row>
    <row r="49" spans="8:8" s="4" customFormat="1" x14ac:dyDescent="0.2">
      <c r="H49" s="490"/>
    </row>
    <row r="50" spans="8:8" s="4" customFormat="1" x14ac:dyDescent="0.2">
      <c r="H50" s="490"/>
    </row>
    <row r="51" spans="8:8" s="4" customFormat="1" x14ac:dyDescent="0.2">
      <c r="H51" s="490"/>
    </row>
    <row r="52" spans="8:8" s="4" customFormat="1" x14ac:dyDescent="0.2">
      <c r="H52" s="490"/>
    </row>
    <row r="53" spans="8:8" s="4" customFormat="1" x14ac:dyDescent="0.2">
      <c r="H53" s="490"/>
    </row>
    <row r="54" spans="8:8" s="4" customFormat="1" x14ac:dyDescent="0.2">
      <c r="H54" s="490"/>
    </row>
    <row r="55" spans="8:8" s="4" customFormat="1" x14ac:dyDescent="0.2">
      <c r="H55" s="490"/>
    </row>
    <row r="56" spans="8:8" s="4" customFormat="1" x14ac:dyDescent="0.2">
      <c r="H56" s="490"/>
    </row>
    <row r="57" spans="8:8" s="4" customFormat="1" x14ac:dyDescent="0.2">
      <c r="H57" s="490"/>
    </row>
    <row r="58" spans="8:8" s="4" customFormat="1" x14ac:dyDescent="0.2">
      <c r="H58" s="490"/>
    </row>
    <row r="59" spans="8:8" s="4" customFormat="1" x14ac:dyDescent="0.2">
      <c r="H59" s="490"/>
    </row>
    <row r="60" spans="8:8" s="4" customFormat="1" x14ac:dyDescent="0.2">
      <c r="H60" s="490"/>
    </row>
    <row r="61" spans="8:8" s="4" customFormat="1" x14ac:dyDescent="0.2">
      <c r="H61" s="490"/>
    </row>
    <row r="62" spans="8:8" s="4" customFormat="1" x14ac:dyDescent="0.2">
      <c r="H62" s="490"/>
    </row>
    <row r="63" spans="8:8" s="4" customFormat="1" x14ac:dyDescent="0.2">
      <c r="H63" s="490"/>
    </row>
    <row r="64" spans="8:8" s="4" customFormat="1" x14ac:dyDescent="0.2">
      <c r="H64" s="490"/>
    </row>
    <row r="65" spans="8:8" s="4" customFormat="1" x14ac:dyDescent="0.2">
      <c r="H65" s="490"/>
    </row>
    <row r="66" spans="8:8" s="4" customFormat="1" x14ac:dyDescent="0.2">
      <c r="H66" s="490"/>
    </row>
    <row r="67" spans="8:8" s="4" customFormat="1" x14ac:dyDescent="0.2">
      <c r="H67" s="490"/>
    </row>
    <row r="68" spans="8:8" s="4" customFormat="1" x14ac:dyDescent="0.2">
      <c r="H68" s="490"/>
    </row>
    <row r="69" spans="8:8" s="4" customFormat="1" x14ac:dyDescent="0.2">
      <c r="H69" s="490"/>
    </row>
    <row r="70" spans="8:8" s="4" customFormat="1" x14ac:dyDescent="0.2">
      <c r="H70" s="490"/>
    </row>
    <row r="71" spans="8:8" s="4" customFormat="1" x14ac:dyDescent="0.2">
      <c r="H71" s="490"/>
    </row>
    <row r="72" spans="8:8" s="4" customFormat="1" x14ac:dyDescent="0.2">
      <c r="H72" s="490"/>
    </row>
    <row r="73" spans="8:8" s="4" customFormat="1" x14ac:dyDescent="0.2">
      <c r="H73" s="490"/>
    </row>
    <row r="74" spans="8:8" s="4" customFormat="1" x14ac:dyDescent="0.2">
      <c r="H74" s="490"/>
    </row>
    <row r="75" spans="8:8" s="4" customFormat="1" x14ac:dyDescent="0.2">
      <c r="H75" s="490"/>
    </row>
    <row r="76" spans="8:8" s="4" customFormat="1" x14ac:dyDescent="0.2">
      <c r="H76" s="490"/>
    </row>
    <row r="77" spans="8:8" s="4" customFormat="1" x14ac:dyDescent="0.2">
      <c r="H77" s="490"/>
    </row>
    <row r="78" spans="8:8" s="4" customFormat="1" x14ac:dyDescent="0.2">
      <c r="H78" s="490"/>
    </row>
    <row r="79" spans="8:8" s="4" customFormat="1" x14ac:dyDescent="0.2">
      <c r="H79" s="490"/>
    </row>
    <row r="80" spans="8:8" s="4" customFormat="1" x14ac:dyDescent="0.2">
      <c r="H80" s="490"/>
    </row>
    <row r="81" spans="8:8" s="4" customFormat="1" x14ac:dyDescent="0.2">
      <c r="H81" s="490"/>
    </row>
    <row r="82" spans="8:8" s="4" customFormat="1" x14ac:dyDescent="0.2">
      <c r="H82" s="490"/>
    </row>
    <row r="83" spans="8:8" s="4" customFormat="1" x14ac:dyDescent="0.2">
      <c r="H83" s="490"/>
    </row>
    <row r="84" spans="8:8" s="4" customFormat="1" x14ac:dyDescent="0.2">
      <c r="H84" s="490"/>
    </row>
    <row r="85" spans="8:8" s="4" customFormat="1" x14ac:dyDescent="0.2">
      <c r="H85" s="490"/>
    </row>
    <row r="86" spans="8:8" s="4" customFormat="1" x14ac:dyDescent="0.2">
      <c r="H86" s="490"/>
    </row>
    <row r="87" spans="8:8" s="4" customFormat="1" x14ac:dyDescent="0.2">
      <c r="H87" s="490"/>
    </row>
    <row r="88" spans="8:8" s="4" customFormat="1" x14ac:dyDescent="0.2">
      <c r="H88" s="490"/>
    </row>
    <row r="89" spans="8:8" s="4" customFormat="1" x14ac:dyDescent="0.2">
      <c r="H89" s="490"/>
    </row>
    <row r="90" spans="8:8" s="4" customFormat="1" x14ac:dyDescent="0.2">
      <c r="H90" s="490"/>
    </row>
    <row r="91" spans="8:8" s="4" customFormat="1" x14ac:dyDescent="0.2">
      <c r="H91" s="490"/>
    </row>
    <row r="92" spans="8:8" s="4" customFormat="1" x14ac:dyDescent="0.2">
      <c r="H92" s="490"/>
    </row>
    <row r="93" spans="8:8" s="4" customFormat="1" x14ac:dyDescent="0.2">
      <c r="H93" s="490"/>
    </row>
    <row r="94" spans="8:8" s="4" customFormat="1" x14ac:dyDescent="0.2">
      <c r="H94" s="490"/>
    </row>
    <row r="95" spans="8:8" s="4" customFormat="1" x14ac:dyDescent="0.2">
      <c r="H95" s="490"/>
    </row>
    <row r="96" spans="8:8" s="4" customFormat="1" x14ac:dyDescent="0.2">
      <c r="H96" s="490"/>
    </row>
    <row r="97" spans="8:8" s="4" customFormat="1" x14ac:dyDescent="0.2">
      <c r="H97" s="490"/>
    </row>
    <row r="98" spans="8:8" s="4" customFormat="1" x14ac:dyDescent="0.2">
      <c r="H98" s="490"/>
    </row>
    <row r="99" spans="8:8" s="4" customFormat="1" x14ac:dyDescent="0.2">
      <c r="H99" s="490"/>
    </row>
    <row r="100" spans="8:8" s="4" customFormat="1" x14ac:dyDescent="0.2">
      <c r="H100" s="490"/>
    </row>
    <row r="101" spans="8:8" s="4" customFormat="1" x14ac:dyDescent="0.2">
      <c r="H101" s="490"/>
    </row>
    <row r="102" spans="8:8" s="4" customFormat="1" x14ac:dyDescent="0.2">
      <c r="H102" s="490"/>
    </row>
    <row r="103" spans="8:8" s="4" customFormat="1" x14ac:dyDescent="0.2">
      <c r="H103" s="490"/>
    </row>
    <row r="104" spans="8:8" s="4" customFormat="1" x14ac:dyDescent="0.2">
      <c r="H104" s="490"/>
    </row>
    <row r="105" spans="8:8" s="4" customFormat="1" x14ac:dyDescent="0.2">
      <c r="H105" s="490"/>
    </row>
    <row r="106" spans="8:8" s="4" customFormat="1" x14ac:dyDescent="0.2">
      <c r="H106" s="490"/>
    </row>
    <row r="107" spans="8:8" s="4" customFormat="1" x14ac:dyDescent="0.2">
      <c r="H107" s="490"/>
    </row>
    <row r="108" spans="8:8" s="4" customFormat="1" x14ac:dyDescent="0.2">
      <c r="H108" s="490"/>
    </row>
    <row r="109" spans="8:8" s="4" customFormat="1" x14ac:dyDescent="0.2">
      <c r="H109" s="490"/>
    </row>
    <row r="110" spans="8:8" s="4" customFormat="1" x14ac:dyDescent="0.2">
      <c r="H110" s="490"/>
    </row>
    <row r="111" spans="8:8" s="4" customFormat="1" x14ac:dyDescent="0.2">
      <c r="H111" s="490"/>
    </row>
    <row r="112" spans="8:8" s="4" customFormat="1" x14ac:dyDescent="0.2">
      <c r="H112" s="490"/>
    </row>
    <row r="113" spans="8:8" s="4" customFormat="1" x14ac:dyDescent="0.2">
      <c r="H113" s="490"/>
    </row>
    <row r="114" spans="8:8" s="4" customFormat="1" x14ac:dyDescent="0.2">
      <c r="H114" s="490"/>
    </row>
    <row r="115" spans="8:8" s="4" customFormat="1" x14ac:dyDescent="0.2">
      <c r="H115" s="490"/>
    </row>
    <row r="116" spans="8:8" s="4" customFormat="1" x14ac:dyDescent="0.2">
      <c r="H116" s="490"/>
    </row>
    <row r="117" spans="8:8" s="4" customFormat="1" x14ac:dyDescent="0.2">
      <c r="H117" s="490"/>
    </row>
    <row r="118" spans="8:8" s="4" customFormat="1" x14ac:dyDescent="0.2">
      <c r="H118" s="490"/>
    </row>
    <row r="119" spans="8:8" s="4" customFormat="1" x14ac:dyDescent="0.2">
      <c r="H119" s="490"/>
    </row>
    <row r="120" spans="8:8" s="4" customFormat="1" x14ac:dyDescent="0.2">
      <c r="H120" s="490"/>
    </row>
    <row r="121" spans="8:8" s="4" customFormat="1" x14ac:dyDescent="0.2">
      <c r="H121" s="490"/>
    </row>
    <row r="122" spans="8:8" s="4" customFormat="1" x14ac:dyDescent="0.2">
      <c r="H122" s="490"/>
    </row>
    <row r="123" spans="8:8" s="4" customFormat="1" x14ac:dyDescent="0.2">
      <c r="H123" s="490"/>
    </row>
    <row r="124" spans="8:8" s="4" customFormat="1" x14ac:dyDescent="0.2">
      <c r="H124" s="490"/>
    </row>
    <row r="125" spans="8:8" s="4" customFormat="1" x14ac:dyDescent="0.2">
      <c r="H125" s="490"/>
    </row>
    <row r="126" spans="8:8" s="4" customFormat="1" x14ac:dyDescent="0.2">
      <c r="H126" s="490"/>
    </row>
    <row r="127" spans="8:8" s="4" customFormat="1" x14ac:dyDescent="0.2">
      <c r="H127" s="490"/>
    </row>
    <row r="128" spans="8:8" s="4" customFormat="1" x14ac:dyDescent="0.2">
      <c r="H128" s="490"/>
    </row>
    <row r="129" spans="8:8" s="4" customFormat="1" x14ac:dyDescent="0.2">
      <c r="H129" s="490"/>
    </row>
    <row r="130" spans="8:8" s="4" customFormat="1" x14ac:dyDescent="0.2">
      <c r="H130" s="490"/>
    </row>
    <row r="131" spans="8:8" s="4" customFormat="1" x14ac:dyDescent="0.2">
      <c r="H131" s="490"/>
    </row>
    <row r="132" spans="8:8" s="4" customFormat="1" x14ac:dyDescent="0.2">
      <c r="H132" s="490"/>
    </row>
    <row r="133" spans="8:8" s="4" customFormat="1" x14ac:dyDescent="0.2">
      <c r="H133" s="490"/>
    </row>
    <row r="134" spans="8:8" s="4" customFormat="1" x14ac:dyDescent="0.2">
      <c r="H134" s="490"/>
    </row>
    <row r="135" spans="8:8" s="4" customFormat="1" x14ac:dyDescent="0.2">
      <c r="H135" s="490"/>
    </row>
    <row r="136" spans="8:8" s="4" customFormat="1" x14ac:dyDescent="0.2">
      <c r="H136" s="490"/>
    </row>
    <row r="137" spans="8:8" s="4" customFormat="1" x14ac:dyDescent="0.2">
      <c r="H137" s="490"/>
    </row>
    <row r="138" spans="8:8" s="4" customFormat="1" x14ac:dyDescent="0.2">
      <c r="H138" s="490"/>
    </row>
    <row r="139" spans="8:8" s="4" customFormat="1" x14ac:dyDescent="0.2">
      <c r="H139" s="490"/>
    </row>
    <row r="140" spans="8:8" s="4" customFormat="1" x14ac:dyDescent="0.2">
      <c r="H140" s="490"/>
    </row>
    <row r="141" spans="8:8" s="4" customFormat="1" x14ac:dyDescent="0.2">
      <c r="H141" s="490"/>
    </row>
    <row r="142" spans="8:8" s="4" customFormat="1" x14ac:dyDescent="0.2">
      <c r="H142" s="490"/>
    </row>
    <row r="143" spans="8:8" s="4" customFormat="1" x14ac:dyDescent="0.2">
      <c r="H143" s="490"/>
    </row>
    <row r="144" spans="8:8" s="4" customFormat="1" x14ac:dyDescent="0.2">
      <c r="H144" s="490"/>
    </row>
    <row r="145" spans="8:8" s="4" customFormat="1" x14ac:dyDescent="0.2">
      <c r="H145" s="490"/>
    </row>
    <row r="146" spans="8:8" s="4" customFormat="1" x14ac:dyDescent="0.2">
      <c r="H146" s="490"/>
    </row>
    <row r="147" spans="8:8" s="4" customFormat="1" x14ac:dyDescent="0.2">
      <c r="H147" s="490"/>
    </row>
    <row r="148" spans="8:8" s="4" customFormat="1" x14ac:dyDescent="0.2">
      <c r="H148" s="490"/>
    </row>
    <row r="149" spans="8:8" s="4" customFormat="1" x14ac:dyDescent="0.2">
      <c r="H149" s="490"/>
    </row>
    <row r="150" spans="8:8" s="4" customFormat="1" x14ac:dyDescent="0.2">
      <c r="H150" s="490"/>
    </row>
    <row r="151" spans="8:8" s="4" customFormat="1" x14ac:dyDescent="0.2">
      <c r="H151" s="490"/>
    </row>
    <row r="152" spans="8:8" s="4" customFormat="1" x14ac:dyDescent="0.2">
      <c r="H152" s="490"/>
    </row>
    <row r="153" spans="8:8" s="4" customFormat="1" x14ac:dyDescent="0.2">
      <c r="H153" s="490"/>
    </row>
    <row r="154" spans="8:8" s="4" customFormat="1" x14ac:dyDescent="0.2">
      <c r="H154" s="490"/>
    </row>
    <row r="155" spans="8:8" s="4" customFormat="1" x14ac:dyDescent="0.2">
      <c r="H155" s="490"/>
    </row>
    <row r="156" spans="8:8" s="4" customFormat="1" x14ac:dyDescent="0.2">
      <c r="H156" s="490"/>
    </row>
    <row r="157" spans="8:8" s="4" customFormat="1" x14ac:dyDescent="0.2">
      <c r="H157" s="490"/>
    </row>
    <row r="158" spans="8:8" s="4" customFormat="1" x14ac:dyDescent="0.2">
      <c r="H158" s="490"/>
    </row>
    <row r="159" spans="8:8" s="4" customFormat="1" x14ac:dyDescent="0.2">
      <c r="H159" s="490"/>
    </row>
    <row r="160" spans="8:8" s="4" customFormat="1" x14ac:dyDescent="0.2">
      <c r="H160" s="490"/>
    </row>
    <row r="161" spans="8:15" s="4" customFormat="1" x14ac:dyDescent="0.2">
      <c r="H161" s="490"/>
    </row>
    <row r="162" spans="8:15" s="4" customFormat="1" x14ac:dyDescent="0.2">
      <c r="H162" s="490"/>
    </row>
    <row r="163" spans="8:15" s="4" customFormat="1" x14ac:dyDescent="0.2">
      <c r="H163" s="490"/>
      <c r="L163" s="1"/>
      <c r="M163" s="1"/>
      <c r="N163" s="1"/>
      <c r="O163" s="1"/>
    </row>
  </sheetData>
  <sheetProtection password="F2E4" sheet="1" objects="1" scenarios="1" selectLockedCells="1"/>
  <mergeCells count="46">
    <mergeCell ref="C33:D33"/>
    <mergeCell ref="C30:E30"/>
    <mergeCell ref="C34:E34"/>
    <mergeCell ref="A1:G1"/>
    <mergeCell ref="I3:J3"/>
    <mergeCell ref="C11:D11"/>
    <mergeCell ref="C29:D29"/>
    <mergeCell ref="I23:J24"/>
    <mergeCell ref="I2:J2"/>
    <mergeCell ref="C10:E10"/>
    <mergeCell ref="C12:E12"/>
    <mergeCell ref="C14:E14"/>
    <mergeCell ref="C15:D15"/>
    <mergeCell ref="C16:E16"/>
    <mergeCell ref="N24:O24"/>
    <mergeCell ref="N25:O25"/>
    <mergeCell ref="N26:O26"/>
    <mergeCell ref="L1:O1"/>
    <mergeCell ref="L18:O18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33:O33"/>
    <mergeCell ref="N32:O32"/>
    <mergeCell ref="N5:O5"/>
    <mergeCell ref="N19:O19"/>
    <mergeCell ref="N2:O2"/>
    <mergeCell ref="N3:O3"/>
    <mergeCell ref="N4:O4"/>
    <mergeCell ref="N20:O20"/>
    <mergeCell ref="N21:O21"/>
    <mergeCell ref="N27:O27"/>
    <mergeCell ref="N28:O28"/>
    <mergeCell ref="N29:O29"/>
    <mergeCell ref="N30:O30"/>
    <mergeCell ref="N31:O31"/>
    <mergeCell ref="N22:O22"/>
    <mergeCell ref="N23:O23"/>
  </mergeCells>
  <pageMargins left="0.4597222222222222" right="0.55000000000000004" top="0.78749999999999998" bottom="0.78749999999999998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A6" zoomScale="75" zoomScaleNormal="75" workbookViewId="0">
      <selection activeCell="D9" sqref="D9"/>
    </sheetView>
  </sheetViews>
  <sheetFormatPr defaultColWidth="11.42578125" defaultRowHeight="12.75" x14ac:dyDescent="0.2"/>
  <cols>
    <col min="1" max="1" width="32.28515625" style="90" customWidth="1"/>
    <col min="2" max="2" width="15.140625" style="90" customWidth="1"/>
    <col min="3" max="10" width="11.42578125" customWidth="1"/>
    <col min="11" max="11" width="4" style="4" customWidth="1"/>
    <col min="12" max="12" width="11.42578125" customWidth="1"/>
    <col min="13" max="21" width="11.42578125" style="90" customWidth="1"/>
  </cols>
  <sheetData>
    <row r="1" spans="1:13" ht="35.25" customHeight="1" x14ac:dyDescent="0.2">
      <c r="A1" s="727" t="s">
        <v>41</v>
      </c>
      <c r="B1" s="728"/>
      <c r="C1" s="728"/>
      <c r="D1" s="728"/>
      <c r="E1" s="728"/>
      <c r="F1" s="728"/>
      <c r="G1" s="728"/>
      <c r="H1" s="728"/>
      <c r="I1" s="728"/>
      <c r="J1" s="728"/>
      <c r="K1" s="728"/>
      <c r="L1" s="728"/>
      <c r="M1" s="729"/>
    </row>
    <row r="2" spans="1:13" ht="25.5" customHeight="1" x14ac:dyDescent="0.2">
      <c r="A2" s="478"/>
      <c r="B2" s="478"/>
      <c r="C2" s="478"/>
      <c r="D2" s="478"/>
      <c r="E2" s="491" t="s">
        <v>373</v>
      </c>
      <c r="F2" s="491"/>
      <c r="G2" s="478"/>
      <c r="H2" s="478"/>
      <c r="I2" s="478"/>
      <c r="J2" s="478"/>
      <c r="K2" s="478"/>
      <c r="L2" s="478"/>
      <c r="M2" s="478"/>
    </row>
    <row r="3" spans="1:13" ht="20.25" x14ac:dyDescent="0.3">
      <c r="A3" s="486" t="s">
        <v>36</v>
      </c>
      <c r="B3" s="486"/>
      <c r="C3" s="487"/>
      <c r="D3" s="487"/>
    </row>
    <row r="4" spans="1:13" ht="11.25" customHeight="1" x14ac:dyDescent="0.25">
      <c r="A4" s="100"/>
      <c r="B4" s="100"/>
    </row>
    <row r="5" spans="1:13" ht="27" customHeight="1" x14ac:dyDescent="0.2">
      <c r="A5" s="730" t="s">
        <v>372</v>
      </c>
      <c r="B5" s="731"/>
      <c r="C5" s="732"/>
    </row>
    <row r="6" spans="1:13" ht="20.25" x14ac:dyDescent="0.3">
      <c r="A6" s="479" t="s">
        <v>37</v>
      </c>
      <c r="B6" s="472" t="s">
        <v>346</v>
      </c>
      <c r="C6" s="473" t="s">
        <v>342</v>
      </c>
    </row>
    <row r="7" spans="1:13" ht="15.75" x14ac:dyDescent="0.25">
      <c r="A7" s="97" t="s">
        <v>366</v>
      </c>
      <c r="B7" s="98">
        <f>colazione!V2+pranzo!V2+merenda!V2+spuntino!V2+cena!V2</f>
        <v>43474.382666666665</v>
      </c>
      <c r="C7" s="471">
        <f>B7*0.239006</f>
        <v>10390.638303629332</v>
      </c>
    </row>
    <row r="8" spans="1:13" ht="15.75" x14ac:dyDescent="0.25">
      <c r="A8" s="97" t="s">
        <v>347</v>
      </c>
      <c r="B8" s="98">
        <f>colazione!V3+pranzo!V3+merenda!V3+spuntino!V3+cena!V3</f>
        <v>3790.95</v>
      </c>
      <c r="C8" s="471">
        <f t="shared" ref="C8:C10" si="0">B8*0.239006</f>
        <v>906.0597957</v>
      </c>
    </row>
    <row r="9" spans="1:13" ht="15.75" x14ac:dyDescent="0.25">
      <c r="A9" s="97" t="s">
        <v>38</v>
      </c>
      <c r="B9" s="98">
        <f>colazione!V4+pranzo!V4+merenda!V4+spuntino!V4+cena!V4</f>
        <v>5593.6470000000008</v>
      </c>
      <c r="C9" s="471">
        <f t="shared" si="0"/>
        <v>1336.9151948820002</v>
      </c>
    </row>
    <row r="10" spans="1:13" ht="15.75" x14ac:dyDescent="0.25">
      <c r="A10" s="97" t="s">
        <v>352</v>
      </c>
      <c r="B10" s="98">
        <f>colazione!V5+pranzo!V5+merenda!V5+spuntino!V5+cena!V5</f>
        <v>16189.550000000001</v>
      </c>
      <c r="C10" s="471">
        <f t="shared" si="0"/>
        <v>3869.3995873000003</v>
      </c>
    </row>
    <row r="11" spans="1:13" ht="15.75" x14ac:dyDescent="0.25">
      <c r="A11" s="97" t="s">
        <v>39</v>
      </c>
      <c r="B11" s="98">
        <f>colazione!V6+pranzo!V6+merenda!V6+spuntino!V6+cena!V6</f>
        <v>10774.1306</v>
      </c>
      <c r="C11" s="471">
        <f>B11*0.239006</f>
        <v>2575.0818581836002</v>
      </c>
    </row>
    <row r="12" spans="1:13" ht="15.75" x14ac:dyDescent="0.25">
      <c r="A12" s="97" t="s">
        <v>362</v>
      </c>
      <c r="B12" s="98">
        <f>colazione!V7+pranzo!V7+merenda!V7+spuntino!V7+cena!V7</f>
        <v>17144.512000000002</v>
      </c>
      <c r="C12" s="471">
        <f>B12*0.239006</f>
        <v>4097.6412350720002</v>
      </c>
    </row>
    <row r="13" spans="1:13" ht="15.75" x14ac:dyDescent="0.25">
      <c r="A13" s="97" t="s">
        <v>359</v>
      </c>
      <c r="B13" s="98">
        <f>colazione!V8+pranzo!V8+merenda!V8+spuntino!V8+cena!V8</f>
        <v>34326.874499999998</v>
      </c>
      <c r="C13" s="476">
        <f>B13*0.239006</f>
        <v>8204.3289667469999</v>
      </c>
    </row>
    <row r="14" spans="1:13" ht="15.75" x14ac:dyDescent="0.25">
      <c r="A14" s="474"/>
    </row>
    <row r="15" spans="1:13" ht="15.75" x14ac:dyDescent="0.25">
      <c r="A15" s="474"/>
      <c r="B15" s="475"/>
      <c r="C15" s="476"/>
    </row>
    <row r="16" spans="1:13" ht="15.75" x14ac:dyDescent="0.25">
      <c r="A16" s="474" t="s">
        <v>353</v>
      </c>
      <c r="B16" s="475">
        <f>SUM(B7:B13)</f>
        <v>131294.04676666667</v>
      </c>
      <c r="C16" s="476">
        <f>SUM(C7:C13)</f>
        <v>31380.064941513934</v>
      </c>
    </row>
    <row r="17" spans="1:21" ht="15.75" x14ac:dyDescent="0.25">
      <c r="A17" s="474" t="s">
        <v>370</v>
      </c>
      <c r="B17" s="485">
        <f>Disp_ENERG!L31</f>
        <v>69590</v>
      </c>
      <c r="C17" s="477">
        <f>B17*0.239006</f>
        <v>16632.427540000001</v>
      </c>
    </row>
    <row r="18" spans="1:21" s="92" customFormat="1" ht="12.95" customHeight="1" x14ac:dyDescent="0.25">
      <c r="A18" s="474"/>
      <c r="B18" s="476"/>
      <c r="C18" s="476"/>
      <c r="M18" s="91"/>
      <c r="N18" s="91"/>
      <c r="O18" s="91"/>
      <c r="P18" s="91"/>
      <c r="Q18" s="91"/>
      <c r="R18" s="91"/>
      <c r="S18" s="91"/>
      <c r="T18" s="91"/>
      <c r="U18" s="91"/>
    </row>
    <row r="19" spans="1:21" ht="15.75" x14ac:dyDescent="0.25">
      <c r="A19" s="474" t="s">
        <v>354</v>
      </c>
      <c r="B19" s="476">
        <f>B16-B17</f>
        <v>61704.046766666666</v>
      </c>
      <c r="C19" s="476">
        <f>C16-C17</f>
        <v>14747.637401513934</v>
      </c>
    </row>
    <row r="20" spans="1:21" ht="15" x14ac:dyDescent="0.2">
      <c r="A20" s="99"/>
      <c r="B20" s="96"/>
    </row>
    <row r="21" spans="1:21" ht="15" x14ac:dyDescent="0.2">
      <c r="A21" s="99"/>
      <c r="B21" s="96"/>
    </row>
    <row r="22" spans="1:21" ht="21.75" customHeight="1" x14ac:dyDescent="0.2">
      <c r="A22" s="730" t="s">
        <v>371</v>
      </c>
      <c r="B22" s="731"/>
      <c r="C22" s="732"/>
    </row>
    <row r="23" spans="1:21" ht="20.25" x14ac:dyDescent="0.3">
      <c r="A23" s="479" t="s">
        <v>37</v>
      </c>
      <c r="B23" s="472" t="s">
        <v>346</v>
      </c>
      <c r="C23" s="473" t="s">
        <v>342</v>
      </c>
    </row>
    <row r="24" spans="1:21" ht="15.75" x14ac:dyDescent="0.25">
      <c r="A24" s="97" t="s">
        <v>366</v>
      </c>
      <c r="B24" s="98">
        <f>colazione!V2+pranzo!V2+merenda!V2+spuntino!V2+cena!V2</f>
        <v>43474.382666666665</v>
      </c>
      <c r="C24" s="471">
        <f>B24*0.239006</f>
        <v>10390.638303629332</v>
      </c>
    </row>
    <row r="25" spans="1:21" ht="15.75" x14ac:dyDescent="0.25">
      <c r="A25" s="97" t="s">
        <v>347</v>
      </c>
      <c r="B25" s="98">
        <f>colazione!V3+pranzo!V3+merenda!V3+spuntino!V3+cena!V3</f>
        <v>3790.95</v>
      </c>
      <c r="C25" s="471">
        <f t="shared" ref="C25:C27" si="1">B25*0.239006</f>
        <v>906.0597957</v>
      </c>
    </row>
    <row r="26" spans="1:21" ht="15.75" x14ac:dyDescent="0.25">
      <c r="A26" s="97" t="s">
        <v>38</v>
      </c>
      <c r="B26" s="98">
        <f>colazione!V4+pranzo!V4+merenda!V4+spuntino!V4+cena!V4</f>
        <v>5593.6470000000008</v>
      </c>
      <c r="C26" s="471">
        <f t="shared" si="1"/>
        <v>1336.9151948820002</v>
      </c>
    </row>
    <row r="27" spans="1:21" ht="15.75" x14ac:dyDescent="0.25">
      <c r="A27" s="97" t="s">
        <v>352</v>
      </c>
      <c r="B27" s="98">
        <f>colazione!V5+pranzo!V5+merenda!V5+spuntino!V5+cena!V5</f>
        <v>16189.550000000001</v>
      </c>
      <c r="C27" s="471">
        <f t="shared" si="1"/>
        <v>3869.3995873000003</v>
      </c>
    </row>
    <row r="28" spans="1:21" ht="15.75" x14ac:dyDescent="0.25">
      <c r="A28" s="97" t="s">
        <v>39</v>
      </c>
      <c r="B28" s="98">
        <f>colazione!V6+pranzo!V6+merenda!V6+spuntino!V6+cena!V6</f>
        <v>10774.1306</v>
      </c>
      <c r="C28" s="471">
        <f>B28*0.239006</f>
        <v>2575.0818581836002</v>
      </c>
    </row>
    <row r="29" spans="1:21" ht="15.75" x14ac:dyDescent="0.25">
      <c r="A29" s="97" t="s">
        <v>362</v>
      </c>
      <c r="B29" s="98">
        <f>colazione!V7+pranzo!V7+merenda!V7+spuntino!V7+cena!V7</f>
        <v>17144.512000000002</v>
      </c>
      <c r="C29" s="471">
        <f>B29*0.239006</f>
        <v>4097.6412350720002</v>
      </c>
    </row>
    <row r="30" spans="1:21" ht="15.75" x14ac:dyDescent="0.25">
      <c r="A30" s="97" t="s">
        <v>359</v>
      </c>
      <c r="B30" s="98">
        <f>colazione!V8+pranzo!V8+merenda!V8+spuntino!V8+cena!V8</f>
        <v>34326.874499999998</v>
      </c>
      <c r="C30" s="476">
        <f>B30*0.239006</f>
        <v>8204.3289667469999</v>
      </c>
    </row>
    <row r="31" spans="1:21" ht="15.75" x14ac:dyDescent="0.25">
      <c r="A31" s="474"/>
    </row>
    <row r="32" spans="1:21" ht="15.75" x14ac:dyDescent="0.25">
      <c r="A32" s="474"/>
      <c r="B32" s="475"/>
      <c r="C32" s="476"/>
    </row>
    <row r="33" spans="1:3" ht="15.75" x14ac:dyDescent="0.25">
      <c r="A33" s="474" t="s">
        <v>353</v>
      </c>
      <c r="B33" s="475">
        <f>SUM(B24:B30)</f>
        <v>131294.04676666667</v>
      </c>
      <c r="C33" s="476">
        <f>SUM(C24:C30)</f>
        <v>31380.064941513934</v>
      </c>
    </row>
    <row r="34" spans="1:3" ht="15.75" x14ac:dyDescent="0.25">
      <c r="A34" s="474" t="s">
        <v>369</v>
      </c>
      <c r="B34" s="485">
        <f>Disp_ENERG!K31</f>
        <v>11266.285714285714</v>
      </c>
      <c r="C34" s="477">
        <f>B34*0.239006</f>
        <v>2692.7098834285712</v>
      </c>
    </row>
    <row r="35" spans="1:3" ht="15.75" x14ac:dyDescent="0.25">
      <c r="A35" s="474"/>
      <c r="B35" s="476"/>
      <c r="C35" s="476"/>
    </row>
    <row r="36" spans="1:3" ht="15.75" x14ac:dyDescent="0.25">
      <c r="A36" s="474" t="s">
        <v>354</v>
      </c>
      <c r="B36" s="476">
        <f>B33-B34</f>
        <v>120027.76105238096</v>
      </c>
      <c r="C36" s="476">
        <f>C33-C34</f>
        <v>28687.355058085363</v>
      </c>
    </row>
  </sheetData>
  <sheetProtection password="F2E4" sheet="1" objects="1" scenarios="1" selectLockedCells="1" selectUnlockedCells="1"/>
  <mergeCells count="3">
    <mergeCell ref="A1:M1"/>
    <mergeCell ref="A22:C22"/>
    <mergeCell ref="A5:C5"/>
  </mergeCells>
  <pageMargins left="0.4597222222222222" right="0.55000000000000004" top="0.98402777777777772" bottom="0.98402777777777772" header="0.51180555555555551" footer="0.51180555555555551"/>
  <pageSetup paperSize="9" firstPageNumber="0" orientation="landscape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3</vt:i4>
      </vt:variant>
    </vt:vector>
  </HeadingPairs>
  <TitlesOfParts>
    <vt:vector size="12" baseType="lpstr">
      <vt:lpstr>Disp_ENERG</vt:lpstr>
      <vt:lpstr>colazione</vt:lpstr>
      <vt:lpstr>pranzo</vt:lpstr>
      <vt:lpstr>merenda</vt:lpstr>
      <vt:lpstr>spuntino</vt:lpstr>
      <vt:lpstr>cena</vt:lpstr>
      <vt:lpstr>bilancio-essen</vt:lpstr>
      <vt:lpstr>RISULTATI</vt:lpstr>
      <vt:lpstr>equilibrio</vt:lpstr>
      <vt:lpstr>Disp_ENERG!Area_stampa</vt:lpstr>
      <vt:lpstr>equilibrio!Area_stampa</vt:lpstr>
      <vt:lpstr>RISULTATI!Area_stampa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A. Battistelli</dc:creator>
  <cp:lastModifiedBy>Prof. A. Battistelli</cp:lastModifiedBy>
  <dcterms:created xsi:type="dcterms:W3CDTF">2016-10-01T14:16:02Z</dcterms:created>
  <dcterms:modified xsi:type="dcterms:W3CDTF">2016-10-18T22:35:16Z</dcterms:modified>
</cp:coreProperties>
</file>